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面试人员名单 " sheetId="6" r:id="rId1"/>
  </sheets>
  <definedNames>
    <definedName name="_xlnm.Print_Titles" localSheetId="0">'面试人员名单 '!$1:$2</definedName>
  </definedNames>
  <calcPr calcId="125725"/>
</workbook>
</file>

<file path=xl/calcChain.xml><?xml version="1.0" encoding="utf-8"?>
<calcChain xmlns="http://schemas.openxmlformats.org/spreadsheetml/2006/main">
  <c r="E29" i="6"/>
  <c r="I644"/>
  <c r="H644"/>
  <c r="G644"/>
  <c r="F644"/>
  <c r="E644"/>
  <c r="D644"/>
  <c r="C644"/>
  <c r="B644"/>
  <c r="I643"/>
  <c r="H643"/>
  <c r="G643"/>
  <c r="F643"/>
  <c r="E643"/>
  <c r="D643"/>
  <c r="C643"/>
  <c r="B643"/>
  <c r="I642"/>
  <c r="H642"/>
  <c r="G642"/>
  <c r="F642"/>
  <c r="E642"/>
  <c r="D642"/>
  <c r="C642"/>
  <c r="B642"/>
  <c r="I641"/>
  <c r="H641"/>
  <c r="G641"/>
  <c r="F641"/>
  <c r="E641"/>
  <c r="D641"/>
  <c r="C641"/>
  <c r="B641"/>
  <c r="I640"/>
  <c r="H640"/>
  <c r="G640"/>
  <c r="F640"/>
  <c r="E640"/>
  <c r="D640"/>
  <c r="C640"/>
  <c r="B640"/>
  <c r="I639"/>
  <c r="H639"/>
  <c r="G639"/>
  <c r="F639"/>
  <c r="E639"/>
  <c r="D639"/>
  <c r="C639"/>
  <c r="B639"/>
  <c r="I638"/>
  <c r="H638"/>
  <c r="G638"/>
  <c r="F638"/>
  <c r="E638"/>
  <c r="D638"/>
  <c r="C638"/>
  <c r="B638"/>
  <c r="I637"/>
  <c r="H637"/>
  <c r="G637"/>
  <c r="F637"/>
  <c r="E637"/>
  <c r="D637"/>
  <c r="C637"/>
  <c r="B637"/>
  <c r="I636"/>
  <c r="H636"/>
  <c r="G636"/>
  <c r="F636"/>
  <c r="E636"/>
  <c r="D636"/>
  <c r="C636"/>
  <c r="B636"/>
  <c r="I635"/>
  <c r="H635"/>
  <c r="G635"/>
  <c r="F635"/>
  <c r="E635"/>
  <c r="D635"/>
  <c r="C635"/>
  <c r="B635"/>
  <c r="I634"/>
  <c r="H634"/>
  <c r="G634"/>
  <c r="F634"/>
  <c r="E634"/>
  <c r="D634"/>
  <c r="C634"/>
  <c r="B634"/>
  <c r="I633"/>
  <c r="H633"/>
  <c r="G633"/>
  <c r="F633"/>
  <c r="E633"/>
  <c r="D633"/>
  <c r="C633"/>
  <c r="B633"/>
  <c r="I632"/>
  <c r="H632"/>
  <c r="G632"/>
  <c r="F632"/>
  <c r="E632"/>
  <c r="D632"/>
  <c r="C632"/>
  <c r="B632"/>
  <c r="I631"/>
  <c r="H631"/>
  <c r="G631"/>
  <c r="F631"/>
  <c r="E631"/>
  <c r="D631"/>
  <c r="C631"/>
  <c r="B631"/>
  <c r="I630"/>
  <c r="H630"/>
  <c r="G630"/>
  <c r="F630"/>
  <c r="E630"/>
  <c r="D630"/>
  <c r="C630"/>
  <c r="B630"/>
  <c r="I629"/>
  <c r="H629"/>
  <c r="G629"/>
  <c r="F629"/>
  <c r="E629"/>
  <c r="D629"/>
  <c r="C629"/>
  <c r="B629"/>
  <c r="I628"/>
  <c r="H628"/>
  <c r="G628"/>
  <c r="F628"/>
  <c r="E628"/>
  <c r="D628"/>
  <c r="C628"/>
  <c r="B628"/>
  <c r="I627"/>
  <c r="H627"/>
  <c r="G627"/>
  <c r="F627"/>
  <c r="E627"/>
  <c r="D627"/>
  <c r="C627"/>
  <c r="B627"/>
  <c r="I626"/>
  <c r="H626"/>
  <c r="G626"/>
  <c r="F626"/>
  <c r="E626"/>
  <c r="D626"/>
  <c r="C626"/>
  <c r="B626"/>
  <c r="I625"/>
  <c r="H625"/>
  <c r="G625"/>
  <c r="F625"/>
  <c r="E625"/>
  <c r="D625"/>
  <c r="C625"/>
  <c r="B625"/>
  <c r="I624"/>
  <c r="H624"/>
  <c r="G624"/>
  <c r="F624"/>
  <c r="E624"/>
  <c r="D624"/>
  <c r="C624"/>
  <c r="B624"/>
  <c r="I623"/>
  <c r="H623"/>
  <c r="G623"/>
  <c r="F623"/>
  <c r="E623"/>
  <c r="D623"/>
  <c r="C623"/>
  <c r="B623"/>
  <c r="I622"/>
  <c r="H622"/>
  <c r="G622"/>
  <c r="F622"/>
  <c r="E622"/>
  <c r="D622"/>
  <c r="C622"/>
  <c r="B622"/>
  <c r="I621"/>
  <c r="H621"/>
  <c r="G621"/>
  <c r="F621"/>
  <c r="E621"/>
  <c r="D621"/>
  <c r="C621"/>
  <c r="B621"/>
  <c r="I620"/>
  <c r="H620"/>
  <c r="G620"/>
  <c r="F620"/>
  <c r="E620"/>
  <c r="D620"/>
  <c r="C620"/>
  <c r="B620"/>
  <c r="I619"/>
  <c r="H619"/>
  <c r="G619"/>
  <c r="F619"/>
  <c r="E619"/>
  <c r="D619"/>
  <c r="C619"/>
  <c r="B619"/>
  <c r="I618"/>
  <c r="H618"/>
  <c r="G618"/>
  <c r="F618"/>
  <c r="E618"/>
  <c r="D618"/>
  <c r="C618"/>
  <c r="B618"/>
  <c r="I617"/>
  <c r="H617"/>
  <c r="G617"/>
  <c r="F617"/>
  <c r="E617"/>
  <c r="D617"/>
  <c r="C617"/>
  <c r="B617"/>
  <c r="I616"/>
  <c r="H616"/>
  <c r="G616"/>
  <c r="F616"/>
  <c r="E616"/>
  <c r="D616"/>
  <c r="C616"/>
  <c r="B616"/>
  <c r="I615"/>
  <c r="H615"/>
  <c r="G615"/>
  <c r="F615"/>
  <c r="E615"/>
  <c r="D615"/>
  <c r="C615"/>
  <c r="B615"/>
  <c r="I614"/>
  <c r="H614"/>
  <c r="G614"/>
  <c r="F614"/>
  <c r="E614"/>
  <c r="D614"/>
  <c r="C614"/>
  <c r="B614"/>
  <c r="I613"/>
  <c r="H613"/>
  <c r="G613"/>
  <c r="F613"/>
  <c r="E613"/>
  <c r="D613"/>
  <c r="C613"/>
  <c r="B613"/>
  <c r="I612"/>
  <c r="H612"/>
  <c r="G612"/>
  <c r="F612"/>
  <c r="E612"/>
  <c r="D612"/>
  <c r="C612"/>
  <c r="B612"/>
  <c r="I611"/>
  <c r="H611"/>
  <c r="G611"/>
  <c r="F611"/>
  <c r="E611"/>
  <c r="D611"/>
  <c r="C611"/>
  <c r="B611"/>
  <c r="I610"/>
  <c r="H610"/>
  <c r="G610"/>
  <c r="F610"/>
  <c r="E610"/>
  <c r="D610"/>
  <c r="C610"/>
  <c r="B610"/>
  <c r="I609"/>
  <c r="H609"/>
  <c r="G609"/>
  <c r="F609"/>
  <c r="E609"/>
  <c r="D609"/>
  <c r="C609"/>
  <c r="B609"/>
  <c r="I608"/>
  <c r="H608"/>
  <c r="G608"/>
  <c r="F608"/>
  <c r="E608"/>
  <c r="D608"/>
  <c r="C608"/>
  <c r="B608"/>
  <c r="I607"/>
  <c r="H607"/>
  <c r="G607"/>
  <c r="F607"/>
  <c r="E607"/>
  <c r="D607"/>
  <c r="C607"/>
  <c r="B607"/>
  <c r="I606"/>
  <c r="H606"/>
  <c r="G606"/>
  <c r="F606"/>
  <c r="E606"/>
  <c r="D606"/>
  <c r="C606"/>
  <c r="B606"/>
  <c r="I605"/>
  <c r="H605"/>
  <c r="G605"/>
  <c r="F605"/>
  <c r="E605"/>
  <c r="D605"/>
  <c r="C605"/>
  <c r="B605"/>
  <c r="I604"/>
  <c r="H604"/>
  <c r="G604"/>
  <c r="F604"/>
  <c r="E604"/>
  <c r="D604"/>
  <c r="C604"/>
  <c r="B604"/>
  <c r="I603"/>
  <c r="H603"/>
  <c r="G603"/>
  <c r="F603"/>
  <c r="E603"/>
  <c r="D603"/>
  <c r="C603"/>
  <c r="B603"/>
  <c r="I602"/>
  <c r="H602"/>
  <c r="G602"/>
  <c r="F602"/>
  <c r="E602"/>
  <c r="D602"/>
  <c r="C602"/>
  <c r="B602"/>
  <c r="I601"/>
  <c r="H601"/>
  <c r="G601"/>
  <c r="F601"/>
  <c r="E601"/>
  <c r="D601"/>
  <c r="C601"/>
  <c r="B601"/>
  <c r="I600"/>
  <c r="H600"/>
  <c r="G600"/>
  <c r="F600"/>
  <c r="E600"/>
  <c r="D600"/>
  <c r="C600"/>
  <c r="B600"/>
  <c r="I599"/>
  <c r="H599"/>
  <c r="G599"/>
  <c r="F599"/>
  <c r="E599"/>
  <c r="D599"/>
  <c r="C599"/>
  <c r="B599"/>
  <c r="I598"/>
  <c r="H598"/>
  <c r="G598"/>
  <c r="F598"/>
  <c r="E598"/>
  <c r="D598"/>
  <c r="C598"/>
  <c r="B598"/>
  <c r="I597"/>
  <c r="H597"/>
  <c r="G597"/>
  <c r="F597"/>
  <c r="E597"/>
  <c r="D597"/>
  <c r="C597"/>
  <c r="B597"/>
  <c r="I596"/>
  <c r="H596"/>
  <c r="G596"/>
  <c r="F596"/>
  <c r="E596"/>
  <c r="D596"/>
  <c r="C596"/>
  <c r="B596"/>
  <c r="I595"/>
  <c r="H595"/>
  <c r="G595"/>
  <c r="F595"/>
  <c r="E595"/>
  <c r="D595"/>
  <c r="C595"/>
  <c r="B595"/>
  <c r="I594"/>
  <c r="H594"/>
  <c r="G594"/>
  <c r="F594"/>
  <c r="E594"/>
  <c r="D594"/>
  <c r="C594"/>
  <c r="B594"/>
  <c r="I593"/>
  <c r="H593"/>
  <c r="G593"/>
  <c r="F593"/>
  <c r="E593"/>
  <c r="D593"/>
  <c r="C593"/>
  <c r="B593"/>
  <c r="I592"/>
  <c r="H592"/>
  <c r="G592"/>
  <c r="F592"/>
  <c r="E592"/>
  <c r="D592"/>
  <c r="C592"/>
  <c r="B592"/>
  <c r="I591"/>
  <c r="H591"/>
  <c r="G591"/>
  <c r="F591"/>
  <c r="E591"/>
  <c r="D591"/>
  <c r="C591"/>
  <c r="B591"/>
  <c r="I590"/>
  <c r="H590"/>
  <c r="G590"/>
  <c r="F590"/>
  <c r="E590"/>
  <c r="D590"/>
  <c r="C590"/>
  <c r="B590"/>
  <c r="I589"/>
  <c r="H589"/>
  <c r="G589"/>
  <c r="F589"/>
  <c r="E589"/>
  <c r="D589"/>
  <c r="C589"/>
  <c r="B589"/>
  <c r="I588"/>
  <c r="H588"/>
  <c r="G588"/>
  <c r="F588"/>
  <c r="E588"/>
  <c r="D588"/>
  <c r="C588"/>
  <c r="B588"/>
  <c r="I587"/>
  <c r="H587"/>
  <c r="G587"/>
  <c r="F587"/>
  <c r="E587"/>
  <c r="D587"/>
  <c r="C587"/>
  <c r="B587"/>
  <c r="I586"/>
  <c r="H586"/>
  <c r="G586"/>
  <c r="F586"/>
  <c r="E586"/>
  <c r="D586"/>
  <c r="C586"/>
  <c r="B586"/>
  <c r="I585"/>
  <c r="H585"/>
  <c r="G585"/>
  <c r="F585"/>
  <c r="E585"/>
  <c r="D585"/>
  <c r="C585"/>
  <c r="B585"/>
  <c r="I584"/>
  <c r="H584"/>
  <c r="G584"/>
  <c r="F584"/>
  <c r="E584"/>
  <c r="D584"/>
  <c r="C584"/>
  <c r="B584"/>
  <c r="I583"/>
  <c r="H583"/>
  <c r="G583"/>
  <c r="F583"/>
  <c r="E583"/>
  <c r="D583"/>
  <c r="C583"/>
  <c r="B583"/>
  <c r="I582"/>
  <c r="H582"/>
  <c r="G582"/>
  <c r="F582"/>
  <c r="E582"/>
  <c r="D582"/>
  <c r="C582"/>
  <c r="B582"/>
  <c r="I581"/>
  <c r="H581"/>
  <c r="G581"/>
  <c r="F581"/>
  <c r="E581"/>
  <c r="D581"/>
  <c r="C581"/>
  <c r="B581"/>
  <c r="I580"/>
  <c r="H580"/>
  <c r="G580"/>
  <c r="F580"/>
  <c r="E580"/>
  <c r="D580"/>
  <c r="C580"/>
  <c r="B580"/>
  <c r="I579"/>
  <c r="H579"/>
  <c r="G579"/>
  <c r="F579"/>
  <c r="E579"/>
  <c r="D579"/>
  <c r="C579"/>
  <c r="B579"/>
  <c r="I578"/>
  <c r="H578"/>
  <c r="G578"/>
  <c r="F578"/>
  <c r="E578"/>
  <c r="D578"/>
  <c r="C578"/>
  <c r="B578"/>
  <c r="I577"/>
  <c r="H577"/>
  <c r="G577"/>
  <c r="F577"/>
  <c r="E577"/>
  <c r="D577"/>
  <c r="C577"/>
  <c r="B577"/>
  <c r="I576"/>
  <c r="H576"/>
  <c r="G576"/>
  <c r="F576"/>
  <c r="E576"/>
  <c r="D576"/>
  <c r="C576"/>
  <c r="B576"/>
  <c r="I575"/>
  <c r="H575"/>
  <c r="G575"/>
  <c r="F575"/>
  <c r="E575"/>
  <c r="D575"/>
  <c r="C575"/>
  <c r="B575"/>
  <c r="I574"/>
  <c r="H574"/>
  <c r="G574"/>
  <c r="F574"/>
  <c r="E574"/>
  <c r="D574"/>
  <c r="C574"/>
  <c r="B574"/>
  <c r="I573"/>
  <c r="H573"/>
  <c r="G573"/>
  <c r="F573"/>
  <c r="E573"/>
  <c r="D573"/>
  <c r="C573"/>
  <c r="B573"/>
  <c r="I572"/>
  <c r="H572"/>
  <c r="G572"/>
  <c r="F572"/>
  <c r="E572"/>
  <c r="D572"/>
  <c r="C572"/>
  <c r="B572"/>
  <c r="I571"/>
  <c r="H571"/>
  <c r="G571"/>
  <c r="F571"/>
  <c r="E571"/>
  <c r="D571"/>
  <c r="C571"/>
  <c r="B571"/>
  <c r="I570"/>
  <c r="H570"/>
  <c r="G570"/>
  <c r="F570"/>
  <c r="E570"/>
  <c r="D570"/>
  <c r="C570"/>
  <c r="B570"/>
  <c r="I569"/>
  <c r="H569"/>
  <c r="G569"/>
  <c r="F569"/>
  <c r="E569"/>
  <c r="D569"/>
  <c r="C569"/>
  <c r="B569"/>
  <c r="I568"/>
  <c r="H568"/>
  <c r="G568"/>
  <c r="F568"/>
  <c r="E568"/>
  <c r="D568"/>
  <c r="C568"/>
  <c r="B568"/>
  <c r="I567"/>
  <c r="H567"/>
  <c r="G567"/>
  <c r="F567"/>
  <c r="E567"/>
  <c r="D567"/>
  <c r="C567"/>
  <c r="B567"/>
  <c r="I566"/>
  <c r="H566"/>
  <c r="G566"/>
  <c r="F566"/>
  <c r="E566"/>
  <c r="D566"/>
  <c r="C566"/>
  <c r="B566"/>
  <c r="I565"/>
  <c r="H565"/>
  <c r="G565"/>
  <c r="F565"/>
  <c r="E565"/>
  <c r="D565"/>
  <c r="C565"/>
  <c r="B565"/>
  <c r="I564"/>
  <c r="H564"/>
  <c r="G564"/>
  <c r="F564"/>
  <c r="E564"/>
  <c r="D564"/>
  <c r="C564"/>
  <c r="B564"/>
  <c r="I563"/>
  <c r="H563"/>
  <c r="G563"/>
  <c r="F563"/>
  <c r="E563"/>
  <c r="D563"/>
  <c r="C563"/>
  <c r="B563"/>
  <c r="I562"/>
  <c r="H562"/>
  <c r="G562"/>
  <c r="F562"/>
  <c r="E562"/>
  <c r="D562"/>
  <c r="C562"/>
  <c r="B562"/>
  <c r="I561"/>
  <c r="H561"/>
  <c r="G561"/>
  <c r="F561"/>
  <c r="E561"/>
  <c r="D561"/>
  <c r="C561"/>
  <c r="B561"/>
  <c r="I560"/>
  <c r="H560"/>
  <c r="G560"/>
  <c r="F560"/>
  <c r="E560"/>
  <c r="D560"/>
  <c r="C560"/>
  <c r="B560"/>
  <c r="I559"/>
  <c r="H559"/>
  <c r="G559"/>
  <c r="F559"/>
  <c r="E559"/>
  <c r="D559"/>
  <c r="C559"/>
  <c r="B559"/>
  <c r="I558"/>
  <c r="H558"/>
  <c r="G558"/>
  <c r="F558"/>
  <c r="E558"/>
  <c r="D558"/>
  <c r="C558"/>
  <c r="B558"/>
  <c r="I557"/>
  <c r="H557"/>
  <c r="G557"/>
  <c r="F557"/>
  <c r="E557"/>
  <c r="D557"/>
  <c r="C557"/>
  <c r="B557"/>
  <c r="I556"/>
  <c r="H556"/>
  <c r="G556"/>
  <c r="F556"/>
  <c r="E556"/>
  <c r="D556"/>
  <c r="C556"/>
  <c r="B556"/>
  <c r="I555"/>
  <c r="H555"/>
  <c r="G555"/>
  <c r="F555"/>
  <c r="E555"/>
  <c r="D555"/>
  <c r="C555"/>
  <c r="B555"/>
  <c r="I554"/>
  <c r="H554"/>
  <c r="G554"/>
  <c r="F554"/>
  <c r="E554"/>
  <c r="D554"/>
  <c r="C554"/>
  <c r="B554"/>
  <c r="I553"/>
  <c r="H553"/>
  <c r="G553"/>
  <c r="F553"/>
  <c r="E553"/>
  <c r="D553"/>
  <c r="C553"/>
  <c r="B553"/>
  <c r="I552"/>
  <c r="H552"/>
  <c r="G552"/>
  <c r="F552"/>
  <c r="E552"/>
  <c r="D552"/>
  <c r="C552"/>
  <c r="B552"/>
  <c r="I551"/>
  <c r="H551"/>
  <c r="G551"/>
  <c r="F551"/>
  <c r="E551"/>
  <c r="D551"/>
  <c r="C551"/>
  <c r="B551"/>
  <c r="I550"/>
  <c r="H550"/>
  <c r="G550"/>
  <c r="F550"/>
  <c r="E550"/>
  <c r="D550"/>
  <c r="C550"/>
  <c r="B550"/>
  <c r="I549"/>
  <c r="H549"/>
  <c r="G549"/>
  <c r="F549"/>
  <c r="E549"/>
  <c r="D549"/>
  <c r="C549"/>
  <c r="B549"/>
  <c r="I548"/>
  <c r="H548"/>
  <c r="G548"/>
  <c r="F548"/>
  <c r="E548"/>
  <c r="D548"/>
  <c r="C548"/>
  <c r="B548"/>
  <c r="I547"/>
  <c r="H547"/>
  <c r="G547"/>
  <c r="F547"/>
  <c r="E547"/>
  <c r="D547"/>
  <c r="C547"/>
  <c r="B547"/>
  <c r="I546"/>
  <c r="H546"/>
  <c r="G546"/>
  <c r="F546"/>
  <c r="E546"/>
  <c r="D546"/>
  <c r="C546"/>
  <c r="B546"/>
  <c r="I545"/>
  <c r="H545"/>
  <c r="G545"/>
  <c r="F545"/>
  <c r="E545"/>
  <c r="D545"/>
  <c r="C545"/>
  <c r="B545"/>
  <c r="I544"/>
  <c r="H544"/>
  <c r="G544"/>
  <c r="F544"/>
  <c r="E544"/>
  <c r="D544"/>
  <c r="C544"/>
  <c r="B544"/>
  <c r="I543"/>
  <c r="H543"/>
  <c r="G543"/>
  <c r="F543"/>
  <c r="E543"/>
  <c r="D543"/>
  <c r="C543"/>
  <c r="B543"/>
  <c r="I542"/>
  <c r="H542"/>
  <c r="G542"/>
  <c r="F542"/>
  <c r="E542"/>
  <c r="D542"/>
  <c r="C542"/>
  <c r="B542"/>
  <c r="I541"/>
  <c r="H541"/>
  <c r="G541"/>
  <c r="F541"/>
  <c r="E541"/>
  <c r="D541"/>
  <c r="C541"/>
  <c r="B541"/>
  <c r="I540"/>
  <c r="H540"/>
  <c r="G540"/>
  <c r="F540"/>
  <c r="E540"/>
  <c r="D540"/>
  <c r="C540"/>
  <c r="B540"/>
  <c r="I539"/>
  <c r="H539"/>
  <c r="G539"/>
  <c r="F539"/>
  <c r="E539"/>
  <c r="D539"/>
  <c r="C539"/>
  <c r="B539"/>
  <c r="I538"/>
  <c r="H538"/>
  <c r="G538"/>
  <c r="F538"/>
  <c r="E538"/>
  <c r="D538"/>
  <c r="C538"/>
  <c r="B538"/>
  <c r="I537"/>
  <c r="H537"/>
  <c r="G537"/>
  <c r="F537"/>
  <c r="E537"/>
  <c r="D537"/>
  <c r="C537"/>
  <c r="B537"/>
  <c r="I536"/>
  <c r="H536"/>
  <c r="G536"/>
  <c r="F536"/>
  <c r="E536"/>
  <c r="D536"/>
  <c r="C536"/>
  <c r="B536"/>
  <c r="I535"/>
  <c r="H535"/>
  <c r="G535"/>
  <c r="F535"/>
  <c r="E535"/>
  <c r="D535"/>
  <c r="C535"/>
  <c r="B535"/>
  <c r="I534"/>
  <c r="H534"/>
  <c r="G534"/>
  <c r="F534"/>
  <c r="E534"/>
  <c r="D534"/>
  <c r="C534"/>
  <c r="B534"/>
  <c r="I533"/>
  <c r="H533"/>
  <c r="G533"/>
  <c r="F533"/>
  <c r="E533"/>
  <c r="D533"/>
  <c r="C533"/>
  <c r="B533"/>
  <c r="I532"/>
  <c r="H532"/>
  <c r="G532"/>
  <c r="F532"/>
  <c r="E532"/>
  <c r="D532"/>
  <c r="C532"/>
  <c r="B532"/>
  <c r="I531"/>
  <c r="H531"/>
  <c r="G531"/>
  <c r="F531"/>
  <c r="E531"/>
  <c r="D531"/>
  <c r="C531"/>
  <c r="B531"/>
  <c r="I530"/>
  <c r="H530"/>
  <c r="G530"/>
  <c r="F530"/>
  <c r="E530"/>
  <c r="D530"/>
  <c r="C530"/>
  <c r="B530"/>
  <c r="I529"/>
  <c r="H529"/>
  <c r="G529"/>
  <c r="F529"/>
  <c r="E529"/>
  <c r="D529"/>
  <c r="C529"/>
  <c r="B529"/>
  <c r="I528"/>
  <c r="H528"/>
  <c r="G528"/>
  <c r="F528"/>
  <c r="E528"/>
  <c r="D528"/>
  <c r="C528"/>
  <c r="B528"/>
  <c r="I527"/>
  <c r="H527"/>
  <c r="G527"/>
  <c r="F527"/>
  <c r="E527"/>
  <c r="D527"/>
  <c r="C527"/>
  <c r="B527"/>
  <c r="I526"/>
  <c r="H526"/>
  <c r="G526"/>
  <c r="F526"/>
  <c r="E526"/>
  <c r="D526"/>
  <c r="C526"/>
  <c r="B526"/>
  <c r="I525"/>
  <c r="H525"/>
  <c r="G525"/>
  <c r="F525"/>
  <c r="E525"/>
  <c r="D525"/>
  <c r="C525"/>
  <c r="B525"/>
  <c r="I524"/>
  <c r="H524"/>
  <c r="G524"/>
  <c r="F524"/>
  <c r="E524"/>
  <c r="D524"/>
  <c r="C524"/>
  <c r="B524"/>
  <c r="I523"/>
  <c r="H523"/>
  <c r="G523"/>
  <c r="F523"/>
  <c r="E523"/>
  <c r="D523"/>
  <c r="C523"/>
  <c r="B523"/>
  <c r="I522"/>
  <c r="H522"/>
  <c r="G522"/>
  <c r="F522"/>
  <c r="E522"/>
  <c r="D522"/>
  <c r="C522"/>
  <c r="B522"/>
  <c r="I521"/>
  <c r="H521"/>
  <c r="G521"/>
  <c r="F521"/>
  <c r="E521"/>
  <c r="D521"/>
  <c r="C521"/>
  <c r="B521"/>
  <c r="I520"/>
  <c r="H520"/>
  <c r="G520"/>
  <c r="F520"/>
  <c r="E520"/>
  <c r="D520"/>
  <c r="C520"/>
  <c r="B520"/>
  <c r="I519"/>
  <c r="H519"/>
  <c r="G519"/>
  <c r="F519"/>
  <c r="E519"/>
  <c r="D519"/>
  <c r="C519"/>
  <c r="B519"/>
  <c r="I518"/>
  <c r="H518"/>
  <c r="G518"/>
  <c r="F518"/>
  <c r="E518"/>
  <c r="D518"/>
  <c r="C518"/>
  <c r="B518"/>
  <c r="I517"/>
  <c r="H517"/>
  <c r="G517"/>
  <c r="F517"/>
  <c r="E517"/>
  <c r="D517"/>
  <c r="C517"/>
  <c r="B517"/>
  <c r="I516"/>
  <c r="H516"/>
  <c r="G516"/>
  <c r="F516"/>
  <c r="E516"/>
  <c r="D516"/>
  <c r="C516"/>
  <c r="B516"/>
  <c r="I515"/>
  <c r="H515"/>
  <c r="G515"/>
  <c r="F515"/>
  <c r="E515"/>
  <c r="D515"/>
  <c r="C515"/>
  <c r="B515"/>
  <c r="I514"/>
  <c r="H514"/>
  <c r="G514"/>
  <c r="F514"/>
  <c r="E514"/>
  <c r="D514"/>
  <c r="C514"/>
  <c r="B514"/>
  <c r="I513"/>
  <c r="H513"/>
  <c r="G513"/>
  <c r="F513"/>
  <c r="E513"/>
  <c r="D513"/>
  <c r="C513"/>
  <c r="B513"/>
  <c r="I512"/>
  <c r="H512"/>
  <c r="G512"/>
  <c r="F512"/>
  <c r="E512"/>
  <c r="D512"/>
  <c r="C512"/>
  <c r="B512"/>
  <c r="I511"/>
  <c r="H511"/>
  <c r="G511"/>
  <c r="F511"/>
  <c r="E511"/>
  <c r="D511"/>
  <c r="C511"/>
  <c r="B511"/>
  <c r="I510"/>
  <c r="H510"/>
  <c r="G510"/>
  <c r="F510"/>
  <c r="E510"/>
  <c r="D510"/>
  <c r="C510"/>
  <c r="B510"/>
  <c r="I509"/>
  <c r="H509"/>
  <c r="G509"/>
  <c r="F509"/>
  <c r="E509"/>
  <c r="D509"/>
  <c r="C509"/>
  <c r="B509"/>
  <c r="I508"/>
  <c r="H508"/>
  <c r="G508"/>
  <c r="F508"/>
  <c r="E508"/>
  <c r="D508"/>
  <c r="C508"/>
  <c r="B508"/>
  <c r="I507"/>
  <c r="H507"/>
  <c r="G507"/>
  <c r="F507"/>
  <c r="E507"/>
  <c r="D507"/>
  <c r="C507"/>
  <c r="B507"/>
  <c r="I506"/>
  <c r="H506"/>
  <c r="G506"/>
  <c r="F506"/>
  <c r="E506"/>
  <c r="D506"/>
  <c r="C506"/>
  <c r="B506"/>
  <c r="I505"/>
  <c r="H505"/>
  <c r="G505"/>
  <c r="F505"/>
  <c r="E505"/>
  <c r="D505"/>
  <c r="C505"/>
  <c r="B505"/>
  <c r="I504"/>
  <c r="H504"/>
  <c r="G504"/>
  <c r="F504"/>
  <c r="E504"/>
  <c r="D504"/>
  <c r="C504"/>
  <c r="B504"/>
  <c r="I503"/>
  <c r="H503"/>
  <c r="G503"/>
  <c r="F503"/>
  <c r="E503"/>
  <c r="D503"/>
  <c r="C503"/>
  <c r="B503"/>
  <c r="I502"/>
  <c r="H502"/>
  <c r="G502"/>
  <c r="F502"/>
  <c r="E502"/>
  <c r="D502"/>
  <c r="C502"/>
  <c r="B502"/>
  <c r="I501"/>
  <c r="H501"/>
  <c r="G501"/>
  <c r="F501"/>
  <c r="E501"/>
  <c r="D501"/>
  <c r="C501"/>
  <c r="B501"/>
  <c r="I500"/>
  <c r="H500"/>
  <c r="G500"/>
  <c r="F500"/>
  <c r="E500"/>
  <c r="D500"/>
  <c r="C500"/>
  <c r="B500"/>
  <c r="I499"/>
  <c r="H499"/>
  <c r="G499"/>
  <c r="F499"/>
  <c r="E499"/>
  <c r="D499"/>
  <c r="C499"/>
  <c r="B499"/>
  <c r="I498"/>
  <c r="H498"/>
  <c r="G498"/>
  <c r="F498"/>
  <c r="E498"/>
  <c r="D498"/>
  <c r="C498"/>
  <c r="B498"/>
  <c r="I497"/>
  <c r="H497"/>
  <c r="G497"/>
  <c r="F497"/>
  <c r="E497"/>
  <c r="D497"/>
  <c r="C497"/>
  <c r="B497"/>
  <c r="I496"/>
  <c r="H496"/>
  <c r="G496"/>
  <c r="F496"/>
  <c r="E496"/>
  <c r="D496"/>
  <c r="C496"/>
  <c r="B496"/>
  <c r="I495"/>
  <c r="H495"/>
  <c r="G495"/>
  <c r="F495"/>
  <c r="E495"/>
  <c r="D495"/>
  <c r="C495"/>
  <c r="B495"/>
  <c r="I494"/>
  <c r="H494"/>
  <c r="G494"/>
  <c r="F494"/>
  <c r="E494"/>
  <c r="D494"/>
  <c r="C494"/>
  <c r="B494"/>
  <c r="I493"/>
  <c r="H493"/>
  <c r="G493"/>
  <c r="F493"/>
  <c r="E493"/>
  <c r="D493"/>
  <c r="C493"/>
  <c r="B493"/>
  <c r="I492"/>
  <c r="H492"/>
  <c r="G492"/>
  <c r="F492"/>
  <c r="E492"/>
  <c r="D492"/>
  <c r="C492"/>
  <c r="B492"/>
  <c r="I491"/>
  <c r="H491"/>
  <c r="G491"/>
  <c r="F491"/>
  <c r="E491"/>
  <c r="D491"/>
  <c r="C491"/>
  <c r="B491"/>
  <c r="I490"/>
  <c r="H490"/>
  <c r="G490"/>
  <c r="F490"/>
  <c r="E490"/>
  <c r="D490"/>
  <c r="C490"/>
  <c r="B490"/>
  <c r="I489"/>
  <c r="H489"/>
  <c r="G489"/>
  <c r="F489"/>
  <c r="E489"/>
  <c r="D489"/>
  <c r="C489"/>
  <c r="B489"/>
  <c r="I488"/>
  <c r="H488"/>
  <c r="G488"/>
  <c r="F488"/>
  <c r="E488"/>
  <c r="D488"/>
  <c r="C488"/>
  <c r="B488"/>
  <c r="I487"/>
  <c r="H487"/>
  <c r="G487"/>
  <c r="F487"/>
  <c r="E487"/>
  <c r="D487"/>
  <c r="C487"/>
  <c r="B487"/>
  <c r="I486"/>
  <c r="H486"/>
  <c r="G486"/>
  <c r="F486"/>
  <c r="E486"/>
  <c r="D486"/>
  <c r="C486"/>
  <c r="B486"/>
  <c r="I485"/>
  <c r="H485"/>
  <c r="G485"/>
  <c r="F485"/>
  <c r="E485"/>
  <c r="D485"/>
  <c r="C485"/>
  <c r="B485"/>
  <c r="I484"/>
  <c r="H484"/>
  <c r="G484"/>
  <c r="F484"/>
  <c r="E484"/>
  <c r="D484"/>
  <c r="C484"/>
  <c r="B484"/>
  <c r="I483"/>
  <c r="H483"/>
  <c r="G483"/>
  <c r="F483"/>
  <c r="E483"/>
  <c r="D483"/>
  <c r="C483"/>
  <c r="B483"/>
  <c r="I482"/>
  <c r="H482"/>
  <c r="G482"/>
  <c r="F482"/>
  <c r="E482"/>
  <c r="D482"/>
  <c r="C482"/>
  <c r="B482"/>
  <c r="I481"/>
  <c r="H481"/>
  <c r="G481"/>
  <c r="F481"/>
  <c r="E481"/>
  <c r="D481"/>
  <c r="C481"/>
  <c r="B481"/>
  <c r="I480"/>
  <c r="H480"/>
  <c r="G480"/>
  <c r="F480"/>
  <c r="E480"/>
  <c r="D480"/>
  <c r="C480"/>
  <c r="B480"/>
  <c r="I479"/>
  <c r="H479"/>
  <c r="G479"/>
  <c r="F479"/>
  <c r="E479"/>
  <c r="D479"/>
  <c r="C479"/>
  <c r="B479"/>
  <c r="I478"/>
  <c r="H478"/>
  <c r="G478"/>
  <c r="F478"/>
  <c r="E478"/>
  <c r="D478"/>
  <c r="C478"/>
  <c r="B478"/>
  <c r="I477"/>
  <c r="H477"/>
  <c r="G477"/>
  <c r="F477"/>
  <c r="E477"/>
  <c r="D477"/>
  <c r="C477"/>
  <c r="B477"/>
  <c r="I476"/>
  <c r="H476"/>
  <c r="G476"/>
  <c r="F476"/>
  <c r="E476"/>
  <c r="D476"/>
  <c r="C476"/>
  <c r="B476"/>
  <c r="I475"/>
  <c r="H475"/>
  <c r="G475"/>
  <c r="F475"/>
  <c r="E475"/>
  <c r="D475"/>
  <c r="C475"/>
  <c r="B475"/>
  <c r="I474"/>
  <c r="H474"/>
  <c r="G474"/>
  <c r="F474"/>
  <c r="E474"/>
  <c r="D474"/>
  <c r="C474"/>
  <c r="B474"/>
  <c r="I473"/>
  <c r="H473"/>
  <c r="G473"/>
  <c r="F473"/>
  <c r="E473"/>
  <c r="D473"/>
  <c r="C473"/>
  <c r="B473"/>
  <c r="I472"/>
  <c r="H472"/>
  <c r="G472"/>
  <c r="F472"/>
  <c r="E472"/>
  <c r="D472"/>
  <c r="C472"/>
  <c r="B472"/>
  <c r="I471"/>
  <c r="H471"/>
  <c r="G471"/>
  <c r="F471"/>
  <c r="E471"/>
  <c r="D471"/>
  <c r="C471"/>
  <c r="B471"/>
  <c r="I470"/>
  <c r="H470"/>
  <c r="G470"/>
  <c r="F470"/>
  <c r="E470"/>
  <c r="D470"/>
  <c r="C470"/>
  <c r="B470"/>
  <c r="I469"/>
  <c r="H469"/>
  <c r="G469"/>
  <c r="F469"/>
  <c r="E469"/>
  <c r="D469"/>
  <c r="C469"/>
  <c r="B469"/>
  <c r="I468"/>
  <c r="H468"/>
  <c r="G468"/>
  <c r="F468"/>
  <c r="E468"/>
  <c r="D468"/>
  <c r="C468"/>
  <c r="B468"/>
  <c r="I467"/>
  <c r="H467"/>
  <c r="G467"/>
  <c r="F467"/>
  <c r="E467"/>
  <c r="D467"/>
  <c r="C467"/>
  <c r="B467"/>
  <c r="I466"/>
  <c r="H466"/>
  <c r="G466"/>
  <c r="F466"/>
  <c r="E466"/>
  <c r="D466"/>
  <c r="C466"/>
  <c r="B466"/>
  <c r="I465"/>
  <c r="H465"/>
  <c r="G465"/>
  <c r="F465"/>
  <c r="E465"/>
  <c r="D465"/>
  <c r="C465"/>
  <c r="B465"/>
  <c r="I464"/>
  <c r="H464"/>
  <c r="G464"/>
  <c r="F464"/>
  <c r="E464"/>
  <c r="D464"/>
  <c r="C464"/>
  <c r="B464"/>
  <c r="I463"/>
  <c r="H463"/>
  <c r="G463"/>
  <c r="F463"/>
  <c r="E463"/>
  <c r="D463"/>
  <c r="C463"/>
  <c r="B463"/>
  <c r="I462"/>
  <c r="H462"/>
  <c r="G462"/>
  <c r="F462"/>
  <c r="E462"/>
  <c r="D462"/>
  <c r="C462"/>
  <c r="B462"/>
  <c r="I461"/>
  <c r="H461"/>
  <c r="G461"/>
  <c r="F461"/>
  <c r="E461"/>
  <c r="D461"/>
  <c r="C461"/>
  <c r="B461"/>
  <c r="I460"/>
  <c r="H460"/>
  <c r="G460"/>
  <c r="F460"/>
  <c r="E460"/>
  <c r="D460"/>
  <c r="C460"/>
  <c r="B460"/>
  <c r="I459"/>
  <c r="H459"/>
  <c r="G459"/>
  <c r="F459"/>
  <c r="E459"/>
  <c r="D459"/>
  <c r="C459"/>
  <c r="B459"/>
  <c r="I458"/>
  <c r="H458"/>
  <c r="G458"/>
  <c r="F458"/>
  <c r="E458"/>
  <c r="D458"/>
  <c r="C458"/>
  <c r="B458"/>
  <c r="I457"/>
  <c r="H457"/>
  <c r="G457"/>
  <c r="F457"/>
  <c r="E457"/>
  <c r="D457"/>
  <c r="C457"/>
  <c r="B457"/>
  <c r="I456"/>
  <c r="H456"/>
  <c r="G456"/>
  <c r="F456"/>
  <c r="E456"/>
  <c r="D456"/>
  <c r="C456"/>
  <c r="B456"/>
  <c r="I455"/>
  <c r="H455"/>
  <c r="G455"/>
  <c r="F455"/>
  <c r="E455"/>
  <c r="D455"/>
  <c r="C455"/>
  <c r="B455"/>
  <c r="I454"/>
  <c r="H454"/>
  <c r="G454"/>
  <c r="F454"/>
  <c r="E454"/>
  <c r="D454"/>
  <c r="C454"/>
  <c r="B454"/>
  <c r="I453"/>
  <c r="H453"/>
  <c r="G453"/>
  <c r="F453"/>
  <c r="E453"/>
  <c r="D453"/>
  <c r="C453"/>
  <c r="B453"/>
  <c r="I452"/>
  <c r="H452"/>
  <c r="G452"/>
  <c r="F452"/>
  <c r="E452"/>
  <c r="D452"/>
  <c r="C452"/>
  <c r="B452"/>
  <c r="I451"/>
  <c r="H451"/>
  <c r="G451"/>
  <c r="F451"/>
  <c r="E451"/>
  <c r="D451"/>
  <c r="C451"/>
  <c r="B451"/>
  <c r="I450"/>
  <c r="H450"/>
  <c r="G450"/>
  <c r="F450"/>
  <c r="E450"/>
  <c r="D450"/>
  <c r="C450"/>
  <c r="B450"/>
  <c r="I449"/>
  <c r="H449"/>
  <c r="G449"/>
  <c r="F449"/>
  <c r="E449"/>
  <c r="D449"/>
  <c r="C449"/>
  <c r="B449"/>
  <c r="I448"/>
  <c r="H448"/>
  <c r="G448"/>
  <c r="F448"/>
  <c r="E448"/>
  <c r="D448"/>
  <c r="C448"/>
  <c r="B448"/>
  <c r="I447"/>
  <c r="H447"/>
  <c r="G447"/>
  <c r="F447"/>
  <c r="E447"/>
  <c r="D447"/>
  <c r="C447"/>
  <c r="B447"/>
  <c r="I446"/>
  <c r="H446"/>
  <c r="G446"/>
  <c r="F446"/>
  <c r="E446"/>
  <c r="D446"/>
  <c r="C446"/>
  <c r="B446"/>
  <c r="I445"/>
  <c r="H445"/>
  <c r="G445"/>
  <c r="F445"/>
  <c r="E445"/>
  <c r="D445"/>
  <c r="C445"/>
  <c r="B445"/>
  <c r="I444"/>
  <c r="H444"/>
  <c r="G444"/>
  <c r="F444"/>
  <c r="E444"/>
  <c r="D444"/>
  <c r="C444"/>
  <c r="B444"/>
  <c r="I443"/>
  <c r="H443"/>
  <c r="G443"/>
  <c r="F443"/>
  <c r="E443"/>
  <c r="D443"/>
  <c r="C443"/>
  <c r="B443"/>
  <c r="I442"/>
  <c r="H442"/>
  <c r="G442"/>
  <c r="F442"/>
  <c r="E442"/>
  <c r="D442"/>
  <c r="C442"/>
  <c r="B442"/>
  <c r="I441"/>
  <c r="H441"/>
  <c r="G441"/>
  <c r="F441"/>
  <c r="E441"/>
  <c r="D441"/>
  <c r="C441"/>
  <c r="B441"/>
  <c r="I440"/>
  <c r="H440"/>
  <c r="G440"/>
  <c r="F440"/>
  <c r="E440"/>
  <c r="D440"/>
  <c r="C440"/>
  <c r="B440"/>
  <c r="I439"/>
  <c r="H439"/>
  <c r="G439"/>
  <c r="F439"/>
  <c r="E439"/>
  <c r="D439"/>
  <c r="C439"/>
  <c r="B439"/>
  <c r="I438"/>
  <c r="H438"/>
  <c r="G438"/>
  <c r="F438"/>
  <c r="E438"/>
  <c r="D438"/>
  <c r="C438"/>
  <c r="B438"/>
  <c r="I437"/>
  <c r="H437"/>
  <c r="G437"/>
  <c r="F437"/>
  <c r="E437"/>
  <c r="D437"/>
  <c r="C437"/>
  <c r="B437"/>
  <c r="I436"/>
  <c r="H436"/>
  <c r="G436"/>
  <c r="F436"/>
  <c r="E436"/>
  <c r="D436"/>
  <c r="C436"/>
  <c r="B436"/>
  <c r="I435"/>
  <c r="H435"/>
  <c r="G435"/>
  <c r="F435"/>
  <c r="E435"/>
  <c r="D435"/>
  <c r="C435"/>
  <c r="B435"/>
  <c r="I434"/>
  <c r="H434"/>
  <c r="G434"/>
  <c r="F434"/>
  <c r="E434"/>
  <c r="D434"/>
  <c r="C434"/>
  <c r="B434"/>
  <c r="I433"/>
  <c r="H433"/>
  <c r="G433"/>
  <c r="F433"/>
  <c r="E433"/>
  <c r="D433"/>
  <c r="C433"/>
  <c r="B433"/>
  <c r="I432"/>
  <c r="H432"/>
  <c r="G432"/>
  <c r="F432"/>
  <c r="E432"/>
  <c r="D432"/>
  <c r="C432"/>
  <c r="B432"/>
  <c r="I431"/>
  <c r="H431"/>
  <c r="G431"/>
  <c r="F431"/>
  <c r="E431"/>
  <c r="D431"/>
  <c r="C431"/>
  <c r="B431"/>
  <c r="I430"/>
  <c r="H430"/>
  <c r="G430"/>
  <c r="F430"/>
  <c r="E430"/>
  <c r="D430"/>
  <c r="C430"/>
  <c r="B430"/>
  <c r="I429"/>
  <c r="H429"/>
  <c r="G429"/>
  <c r="F429"/>
  <c r="E429"/>
  <c r="D429"/>
  <c r="C429"/>
  <c r="B429"/>
  <c r="I428"/>
  <c r="H428"/>
  <c r="G428"/>
  <c r="F428"/>
  <c r="E428"/>
  <c r="D428"/>
  <c r="C428"/>
  <c r="B428"/>
  <c r="I427"/>
  <c r="H427"/>
  <c r="G427"/>
  <c r="F427"/>
  <c r="E427"/>
  <c r="D427"/>
  <c r="C427"/>
  <c r="B427"/>
  <c r="I426"/>
  <c r="H426"/>
  <c r="G426"/>
  <c r="F426"/>
  <c r="E426"/>
  <c r="D426"/>
  <c r="C426"/>
  <c r="B426"/>
  <c r="I425"/>
  <c r="H425"/>
  <c r="G425"/>
  <c r="F425"/>
  <c r="E425"/>
  <c r="D425"/>
  <c r="C425"/>
  <c r="B425"/>
  <c r="I424"/>
  <c r="H424"/>
  <c r="G424"/>
  <c r="F424"/>
  <c r="E424"/>
  <c r="D424"/>
  <c r="C424"/>
  <c r="B424"/>
  <c r="I423"/>
  <c r="H423"/>
  <c r="G423"/>
  <c r="F423"/>
  <c r="E423"/>
  <c r="D423"/>
  <c r="C423"/>
  <c r="B423"/>
  <c r="I422"/>
  <c r="H422"/>
  <c r="G422"/>
  <c r="F422"/>
  <c r="E422"/>
  <c r="D422"/>
  <c r="C422"/>
  <c r="B422"/>
  <c r="I421"/>
  <c r="H421"/>
  <c r="G421"/>
  <c r="F421"/>
  <c r="E421"/>
  <c r="D421"/>
  <c r="C421"/>
  <c r="B421"/>
  <c r="I420"/>
  <c r="H420"/>
  <c r="G420"/>
  <c r="F420"/>
  <c r="E420"/>
  <c r="D420"/>
  <c r="C420"/>
  <c r="B420"/>
  <c r="I419"/>
  <c r="H419"/>
  <c r="G419"/>
  <c r="F419"/>
  <c r="E419"/>
  <c r="D419"/>
  <c r="C419"/>
  <c r="B419"/>
  <c r="I418"/>
  <c r="H418"/>
  <c r="G418"/>
  <c r="F418"/>
  <c r="E418"/>
  <c r="D418"/>
  <c r="C418"/>
  <c r="B418"/>
  <c r="I417"/>
  <c r="H417"/>
  <c r="G417"/>
  <c r="F417"/>
  <c r="E417"/>
  <c r="D417"/>
  <c r="C417"/>
  <c r="B417"/>
  <c r="I416"/>
  <c r="H416"/>
  <c r="G416"/>
  <c r="F416"/>
  <c r="E416"/>
  <c r="D416"/>
  <c r="C416"/>
  <c r="B416"/>
  <c r="I415"/>
  <c r="H415"/>
  <c r="G415"/>
  <c r="F415"/>
  <c r="E415"/>
  <c r="D415"/>
  <c r="C415"/>
  <c r="B415"/>
  <c r="I414"/>
  <c r="H414"/>
  <c r="G414"/>
  <c r="F414"/>
  <c r="E414"/>
  <c r="D414"/>
  <c r="C414"/>
  <c r="B414"/>
  <c r="I413"/>
  <c r="H413"/>
  <c r="G413"/>
  <c r="F413"/>
  <c r="E413"/>
  <c r="D413"/>
  <c r="C413"/>
  <c r="B413"/>
  <c r="I412"/>
  <c r="H412"/>
  <c r="G412"/>
  <c r="F412"/>
  <c r="E412"/>
  <c r="D412"/>
  <c r="C412"/>
  <c r="B412"/>
  <c r="I411"/>
  <c r="H411"/>
  <c r="G411"/>
  <c r="F411"/>
  <c r="E411"/>
  <c r="D411"/>
  <c r="C411"/>
  <c r="B411"/>
  <c r="I410"/>
  <c r="H410"/>
  <c r="G410"/>
  <c r="F410"/>
  <c r="E410"/>
  <c r="D410"/>
  <c r="C410"/>
  <c r="B410"/>
  <c r="I409"/>
  <c r="H409"/>
  <c r="G409"/>
  <c r="F409"/>
  <c r="E409"/>
  <c r="D409"/>
  <c r="C409"/>
  <c r="B409"/>
  <c r="I408"/>
  <c r="H408"/>
  <c r="G408"/>
  <c r="F408"/>
  <c r="E408"/>
  <c r="D408"/>
  <c r="C408"/>
  <c r="B408"/>
  <c r="I407"/>
  <c r="H407"/>
  <c r="G407"/>
  <c r="F407"/>
  <c r="E407"/>
  <c r="D407"/>
  <c r="C407"/>
  <c r="B407"/>
  <c r="I406"/>
  <c r="H406"/>
  <c r="G406"/>
  <c r="F406"/>
  <c r="E406"/>
  <c r="D406"/>
  <c r="C406"/>
  <c r="B406"/>
  <c r="I405"/>
  <c r="H405"/>
  <c r="G405"/>
  <c r="F405"/>
  <c r="E405"/>
  <c r="D405"/>
  <c r="C405"/>
  <c r="B405"/>
  <c r="I404"/>
  <c r="H404"/>
  <c r="G404"/>
  <c r="F404"/>
  <c r="E404"/>
  <c r="D404"/>
  <c r="C404"/>
  <c r="B404"/>
  <c r="I403"/>
  <c r="H403"/>
  <c r="G403"/>
  <c r="F403"/>
  <c r="E403"/>
  <c r="D403"/>
  <c r="C403"/>
  <c r="B403"/>
  <c r="I402"/>
  <c r="H402"/>
  <c r="G402"/>
  <c r="F402"/>
  <c r="E402"/>
  <c r="D402"/>
  <c r="C402"/>
  <c r="B402"/>
  <c r="I401"/>
  <c r="H401"/>
  <c r="G401"/>
  <c r="F401"/>
  <c r="E401"/>
  <c r="D401"/>
  <c r="C401"/>
  <c r="B401"/>
  <c r="I400"/>
  <c r="H400"/>
  <c r="G400"/>
  <c r="F400"/>
  <c r="E400"/>
  <c r="D400"/>
  <c r="C400"/>
  <c r="B400"/>
  <c r="I399"/>
  <c r="H399"/>
  <c r="G399"/>
  <c r="F399"/>
  <c r="E399"/>
  <c r="D399"/>
  <c r="C399"/>
  <c r="B399"/>
  <c r="I398"/>
  <c r="H398"/>
  <c r="G398"/>
  <c r="F398"/>
  <c r="E398"/>
  <c r="D398"/>
  <c r="C398"/>
  <c r="B398"/>
  <c r="I397"/>
  <c r="H397"/>
  <c r="G397"/>
  <c r="F397"/>
  <c r="E397"/>
  <c r="D397"/>
  <c r="C397"/>
  <c r="B397"/>
  <c r="I396"/>
  <c r="H396"/>
  <c r="G396"/>
  <c r="F396"/>
  <c r="E396"/>
  <c r="D396"/>
  <c r="C396"/>
  <c r="B396"/>
  <c r="I395"/>
  <c r="H395"/>
  <c r="G395"/>
  <c r="F395"/>
  <c r="E395"/>
  <c r="D395"/>
  <c r="C395"/>
  <c r="B395"/>
  <c r="I394"/>
  <c r="H394"/>
  <c r="G394"/>
  <c r="F394"/>
  <c r="E394"/>
  <c r="D394"/>
  <c r="C394"/>
  <c r="B394"/>
  <c r="I393"/>
  <c r="H393"/>
  <c r="G393"/>
  <c r="F393"/>
  <c r="E393"/>
  <c r="D393"/>
  <c r="C393"/>
  <c r="B393"/>
  <c r="I392"/>
  <c r="H392"/>
  <c r="G392"/>
  <c r="F392"/>
  <c r="E392"/>
  <c r="D392"/>
  <c r="C392"/>
  <c r="B392"/>
  <c r="I391"/>
  <c r="H391"/>
  <c r="G391"/>
  <c r="F391"/>
  <c r="E391"/>
  <c r="D391"/>
  <c r="C391"/>
  <c r="B391"/>
  <c r="I390"/>
  <c r="H390"/>
  <c r="G390"/>
  <c r="F390"/>
  <c r="E390"/>
  <c r="D390"/>
  <c r="C390"/>
  <c r="B390"/>
  <c r="I389"/>
  <c r="H389"/>
  <c r="G389"/>
  <c r="F389"/>
  <c r="E389"/>
  <c r="D389"/>
  <c r="C389"/>
  <c r="B389"/>
  <c r="I388"/>
  <c r="H388"/>
  <c r="G388"/>
  <c r="F388"/>
  <c r="E388"/>
  <c r="D388"/>
  <c r="C388"/>
  <c r="B388"/>
  <c r="I387"/>
  <c r="H387"/>
  <c r="G387"/>
  <c r="F387"/>
  <c r="E387"/>
  <c r="D387"/>
  <c r="C387"/>
  <c r="B387"/>
  <c r="I386"/>
  <c r="H386"/>
  <c r="G386"/>
  <c r="F386"/>
  <c r="E386"/>
  <c r="D386"/>
  <c r="C386"/>
  <c r="B386"/>
  <c r="I385"/>
  <c r="H385"/>
  <c r="G385"/>
  <c r="F385"/>
  <c r="E385"/>
  <c r="D385"/>
  <c r="C385"/>
  <c r="B385"/>
  <c r="I384"/>
  <c r="H384"/>
  <c r="G384"/>
  <c r="F384"/>
  <c r="E384"/>
  <c r="D384"/>
  <c r="C384"/>
  <c r="B384"/>
  <c r="I383"/>
  <c r="H383"/>
  <c r="G383"/>
  <c r="F383"/>
  <c r="E383"/>
  <c r="D383"/>
  <c r="C383"/>
  <c r="B383"/>
  <c r="I382"/>
  <c r="H382"/>
  <c r="G382"/>
  <c r="F382"/>
  <c r="E382"/>
  <c r="D382"/>
  <c r="C382"/>
  <c r="B382"/>
  <c r="I381"/>
  <c r="H381"/>
  <c r="G381"/>
  <c r="F381"/>
  <c r="E381"/>
  <c r="D381"/>
  <c r="C381"/>
  <c r="B381"/>
  <c r="I380"/>
  <c r="H380"/>
  <c r="G380"/>
  <c r="F380"/>
  <c r="E380"/>
  <c r="D380"/>
  <c r="C380"/>
  <c r="B380"/>
  <c r="I379"/>
  <c r="H379"/>
  <c r="G379"/>
  <c r="F379"/>
  <c r="E379"/>
  <c r="D379"/>
  <c r="C379"/>
  <c r="B379"/>
  <c r="I378"/>
  <c r="H378"/>
  <c r="G378"/>
  <c r="F378"/>
  <c r="E378"/>
  <c r="D378"/>
  <c r="C378"/>
  <c r="B378"/>
  <c r="I377"/>
  <c r="H377"/>
  <c r="G377"/>
  <c r="F377"/>
  <c r="E377"/>
  <c r="D377"/>
  <c r="C377"/>
  <c r="B377"/>
  <c r="I376"/>
  <c r="H376"/>
  <c r="G376"/>
  <c r="F376"/>
  <c r="E376"/>
  <c r="D376"/>
  <c r="C376"/>
  <c r="B376"/>
  <c r="I375"/>
  <c r="H375"/>
  <c r="G375"/>
  <c r="F375"/>
  <c r="E375"/>
  <c r="D375"/>
  <c r="C375"/>
  <c r="B375"/>
  <c r="I374"/>
  <c r="H374"/>
  <c r="G374"/>
  <c r="F374"/>
  <c r="E374"/>
  <c r="D374"/>
  <c r="C374"/>
  <c r="B374"/>
  <c r="I373"/>
  <c r="H373"/>
  <c r="G373"/>
  <c r="F373"/>
  <c r="E373"/>
  <c r="D373"/>
  <c r="C373"/>
  <c r="B373"/>
  <c r="I372"/>
  <c r="H372"/>
  <c r="G372"/>
  <c r="F372"/>
  <c r="E372"/>
  <c r="D372"/>
  <c r="C372"/>
  <c r="B372"/>
  <c r="I371"/>
  <c r="H371"/>
  <c r="G371"/>
  <c r="F371"/>
  <c r="E371"/>
  <c r="D371"/>
  <c r="C371"/>
  <c r="B371"/>
  <c r="I370"/>
  <c r="H370"/>
  <c r="G370"/>
  <c r="F370"/>
  <c r="E370"/>
  <c r="D370"/>
  <c r="C370"/>
  <c r="B370"/>
  <c r="I369"/>
  <c r="H369"/>
  <c r="G369"/>
  <c r="F369"/>
  <c r="E369"/>
  <c r="D369"/>
  <c r="C369"/>
  <c r="B369"/>
  <c r="I368"/>
  <c r="H368"/>
  <c r="G368"/>
  <c r="F368"/>
  <c r="E368"/>
  <c r="D368"/>
  <c r="C368"/>
  <c r="B368"/>
  <c r="I367"/>
  <c r="H367"/>
  <c r="G367"/>
  <c r="F367"/>
  <c r="E367"/>
  <c r="D367"/>
  <c r="C367"/>
  <c r="B367"/>
  <c r="I366"/>
  <c r="H366"/>
  <c r="G366"/>
  <c r="F366"/>
  <c r="E366"/>
  <c r="D366"/>
  <c r="C366"/>
  <c r="B366"/>
  <c r="I365"/>
  <c r="H365"/>
  <c r="G365"/>
  <c r="F365"/>
  <c r="E365"/>
  <c r="D365"/>
  <c r="C365"/>
  <c r="B365"/>
  <c r="I364"/>
  <c r="H364"/>
  <c r="G364"/>
  <c r="F364"/>
  <c r="E364"/>
  <c r="D364"/>
  <c r="C364"/>
  <c r="B364"/>
  <c r="I363"/>
  <c r="H363"/>
  <c r="G363"/>
  <c r="F363"/>
  <c r="E363"/>
  <c r="D363"/>
  <c r="C363"/>
  <c r="B363"/>
  <c r="I362"/>
  <c r="H362"/>
  <c r="G362"/>
  <c r="F362"/>
  <c r="E362"/>
  <c r="D362"/>
  <c r="C362"/>
  <c r="B362"/>
  <c r="I361"/>
  <c r="H361"/>
  <c r="G361"/>
  <c r="F361"/>
  <c r="E361"/>
  <c r="D361"/>
  <c r="C361"/>
  <c r="B361"/>
  <c r="I360"/>
  <c r="H360"/>
  <c r="G360"/>
  <c r="F360"/>
  <c r="E360"/>
  <c r="D360"/>
  <c r="C360"/>
  <c r="B360"/>
  <c r="I359"/>
  <c r="H359"/>
  <c r="G359"/>
  <c r="F359"/>
  <c r="E359"/>
  <c r="D359"/>
  <c r="C359"/>
  <c r="B359"/>
  <c r="I358"/>
  <c r="H358"/>
  <c r="G358"/>
  <c r="F358"/>
  <c r="E358"/>
  <c r="D358"/>
  <c r="C358"/>
  <c r="B358"/>
  <c r="I357"/>
  <c r="H357"/>
  <c r="G357"/>
  <c r="F357"/>
  <c r="E357"/>
  <c r="D357"/>
  <c r="C357"/>
  <c r="B357"/>
  <c r="I356"/>
  <c r="H356"/>
  <c r="G356"/>
  <c r="F356"/>
  <c r="E356"/>
  <c r="D356"/>
  <c r="C356"/>
  <c r="B356"/>
  <c r="I355"/>
  <c r="H355"/>
  <c r="G355"/>
  <c r="F355"/>
  <c r="E355"/>
  <c r="D355"/>
  <c r="C355"/>
  <c r="B355"/>
  <c r="I354"/>
  <c r="H354"/>
  <c r="G354"/>
  <c r="F354"/>
  <c r="E354"/>
  <c r="D354"/>
  <c r="C354"/>
  <c r="B354"/>
  <c r="I353"/>
  <c r="H353"/>
  <c r="G353"/>
  <c r="F353"/>
  <c r="E353"/>
  <c r="D353"/>
  <c r="C353"/>
  <c r="B353"/>
  <c r="I352"/>
  <c r="H352"/>
  <c r="G352"/>
  <c r="F352"/>
  <c r="E352"/>
  <c r="D352"/>
  <c r="C352"/>
  <c r="B352"/>
  <c r="I351"/>
  <c r="H351"/>
  <c r="G351"/>
  <c r="F351"/>
  <c r="E351"/>
  <c r="D351"/>
  <c r="C351"/>
  <c r="B351"/>
  <c r="I350"/>
  <c r="H350"/>
  <c r="G350"/>
  <c r="F350"/>
  <c r="E350"/>
  <c r="D350"/>
  <c r="C350"/>
  <c r="B350"/>
  <c r="I349"/>
  <c r="H349"/>
  <c r="G349"/>
  <c r="F349"/>
  <c r="E349"/>
  <c r="D349"/>
  <c r="C349"/>
  <c r="B349"/>
  <c r="I348"/>
  <c r="H348"/>
  <c r="G348"/>
  <c r="F348"/>
  <c r="E348"/>
  <c r="D348"/>
  <c r="C348"/>
  <c r="B348"/>
  <c r="I347"/>
  <c r="H347"/>
  <c r="G347"/>
  <c r="F347"/>
  <c r="E347"/>
  <c r="D347"/>
  <c r="C347"/>
  <c r="B347"/>
  <c r="I346"/>
  <c r="H346"/>
  <c r="G346"/>
  <c r="F346"/>
  <c r="E346"/>
  <c r="D346"/>
  <c r="C346"/>
  <c r="B346"/>
  <c r="I345"/>
  <c r="H345"/>
  <c r="G345"/>
  <c r="F345"/>
  <c r="E345"/>
  <c r="D345"/>
  <c r="C345"/>
  <c r="B345"/>
  <c r="I344"/>
  <c r="H344"/>
  <c r="G344"/>
  <c r="F344"/>
  <c r="E344"/>
  <c r="D344"/>
  <c r="C344"/>
  <c r="B344"/>
  <c r="I343"/>
  <c r="H343"/>
  <c r="G343"/>
  <c r="F343"/>
  <c r="E343"/>
  <c r="D343"/>
  <c r="C343"/>
  <c r="B343"/>
  <c r="I342"/>
  <c r="H342"/>
  <c r="G342"/>
  <c r="F342"/>
  <c r="E342"/>
  <c r="D342"/>
  <c r="C342"/>
  <c r="B342"/>
  <c r="I341"/>
  <c r="H341"/>
  <c r="G341"/>
  <c r="F341"/>
  <c r="E341"/>
  <c r="D341"/>
  <c r="C341"/>
  <c r="B341"/>
  <c r="I340"/>
  <c r="H340"/>
  <c r="G340"/>
  <c r="F340"/>
  <c r="E340"/>
  <c r="D340"/>
  <c r="C340"/>
  <c r="B340"/>
  <c r="I339"/>
  <c r="H339"/>
  <c r="G339"/>
  <c r="F339"/>
  <c r="E339"/>
  <c r="D339"/>
  <c r="C339"/>
  <c r="B339"/>
  <c r="I338"/>
  <c r="H338"/>
  <c r="G338"/>
  <c r="F338"/>
  <c r="E338"/>
  <c r="D338"/>
  <c r="C338"/>
  <c r="B338"/>
  <c r="I337"/>
  <c r="H337"/>
  <c r="G337"/>
  <c r="F337"/>
  <c r="E337"/>
  <c r="D337"/>
  <c r="C337"/>
  <c r="B337"/>
  <c r="I336"/>
  <c r="H336"/>
  <c r="G336"/>
  <c r="F336"/>
  <c r="E336"/>
  <c r="D336"/>
  <c r="C336"/>
  <c r="B336"/>
  <c r="I335"/>
  <c r="H335"/>
  <c r="G335"/>
  <c r="F335"/>
  <c r="E335"/>
  <c r="D335"/>
  <c r="C335"/>
  <c r="B335"/>
  <c r="I334"/>
  <c r="H334"/>
  <c r="G334"/>
  <c r="F334"/>
  <c r="E334"/>
  <c r="D334"/>
  <c r="C334"/>
  <c r="B334"/>
  <c r="I333"/>
  <c r="H333"/>
  <c r="G333"/>
  <c r="F333"/>
  <c r="E333"/>
  <c r="D333"/>
  <c r="C333"/>
  <c r="B333"/>
  <c r="I332"/>
  <c r="H332"/>
  <c r="G332"/>
  <c r="F332"/>
  <c r="E332"/>
  <c r="D332"/>
  <c r="C332"/>
  <c r="B332"/>
  <c r="I331"/>
  <c r="H331"/>
  <c r="G331"/>
  <c r="F331"/>
  <c r="E331"/>
  <c r="D331"/>
  <c r="C331"/>
  <c r="B331"/>
  <c r="I330"/>
  <c r="H330"/>
  <c r="G330"/>
  <c r="F330"/>
  <c r="E330"/>
  <c r="D330"/>
  <c r="C330"/>
  <c r="B330"/>
  <c r="I329"/>
  <c r="H329"/>
  <c r="G329"/>
  <c r="F329"/>
  <c r="E329"/>
  <c r="D329"/>
  <c r="C329"/>
  <c r="B329"/>
  <c r="I328"/>
  <c r="H328"/>
  <c r="G328"/>
  <c r="F328"/>
  <c r="E328"/>
  <c r="D328"/>
  <c r="C328"/>
  <c r="B328"/>
  <c r="I327"/>
  <c r="H327"/>
  <c r="G327"/>
  <c r="F327"/>
  <c r="E327"/>
  <c r="D327"/>
  <c r="C327"/>
  <c r="B327"/>
  <c r="I326"/>
  <c r="H326"/>
  <c r="G326"/>
  <c r="F326"/>
  <c r="E326"/>
  <c r="D326"/>
  <c r="C326"/>
  <c r="B326"/>
  <c r="I325"/>
  <c r="H325"/>
  <c r="G325"/>
  <c r="F325"/>
  <c r="E325"/>
  <c r="D325"/>
  <c r="C325"/>
  <c r="B325"/>
  <c r="I324"/>
  <c r="H324"/>
  <c r="G324"/>
  <c r="F324"/>
  <c r="E324"/>
  <c r="D324"/>
  <c r="C324"/>
  <c r="B324"/>
  <c r="I323"/>
  <c r="H323"/>
  <c r="G323"/>
  <c r="F323"/>
  <c r="E323"/>
  <c r="D323"/>
  <c r="C323"/>
  <c r="B323"/>
  <c r="I322"/>
  <c r="H322"/>
  <c r="G322"/>
  <c r="F322"/>
  <c r="E322"/>
  <c r="D322"/>
  <c r="C322"/>
  <c r="B322"/>
  <c r="I321"/>
  <c r="H321"/>
  <c r="G321"/>
  <c r="F321"/>
  <c r="E321"/>
  <c r="D321"/>
  <c r="C321"/>
  <c r="B321"/>
  <c r="I320"/>
  <c r="H320"/>
  <c r="G320"/>
  <c r="F320"/>
  <c r="E320"/>
  <c r="D320"/>
  <c r="C320"/>
  <c r="B320"/>
  <c r="I319"/>
  <c r="H319"/>
  <c r="G319"/>
  <c r="F319"/>
  <c r="E319"/>
  <c r="D319"/>
  <c r="C319"/>
  <c r="B319"/>
  <c r="I318"/>
  <c r="H318"/>
  <c r="G318"/>
  <c r="F318"/>
  <c r="E318"/>
  <c r="D318"/>
  <c r="C318"/>
  <c r="B318"/>
  <c r="I317"/>
  <c r="H317"/>
  <c r="G317"/>
  <c r="F317"/>
  <c r="E317"/>
  <c r="D317"/>
  <c r="C317"/>
  <c r="B317"/>
  <c r="I316"/>
  <c r="H316"/>
  <c r="G316"/>
  <c r="F316"/>
  <c r="E316"/>
  <c r="D316"/>
  <c r="C316"/>
  <c r="B316"/>
  <c r="I315"/>
  <c r="H315"/>
  <c r="G315"/>
  <c r="F315"/>
  <c r="E315"/>
  <c r="D315"/>
  <c r="C315"/>
  <c r="B315"/>
  <c r="I314"/>
  <c r="H314"/>
  <c r="G314"/>
  <c r="F314"/>
  <c r="E314"/>
  <c r="D314"/>
  <c r="C314"/>
  <c r="B314"/>
  <c r="I313"/>
  <c r="H313"/>
  <c r="G313"/>
  <c r="F313"/>
  <c r="E313"/>
  <c r="D313"/>
  <c r="C313"/>
  <c r="B313"/>
  <c r="I312"/>
  <c r="H312"/>
  <c r="G312"/>
  <c r="F312"/>
  <c r="E312"/>
  <c r="D312"/>
  <c r="C312"/>
  <c r="B312"/>
  <c r="I311"/>
  <c r="H311"/>
  <c r="G311"/>
  <c r="F311"/>
  <c r="E311"/>
  <c r="D311"/>
  <c r="C311"/>
  <c r="B311"/>
  <c r="I310"/>
  <c r="H310"/>
  <c r="G310"/>
  <c r="F310"/>
  <c r="E310"/>
  <c r="D310"/>
  <c r="C310"/>
  <c r="B310"/>
  <c r="I309"/>
  <c r="H309"/>
  <c r="G309"/>
  <c r="F309"/>
  <c r="E309"/>
  <c r="D309"/>
  <c r="C309"/>
  <c r="B309"/>
  <c r="I308"/>
  <c r="H308"/>
  <c r="G308"/>
  <c r="F308"/>
  <c r="E308"/>
  <c r="D308"/>
  <c r="C308"/>
  <c r="B308"/>
  <c r="I307"/>
  <c r="H307"/>
  <c r="G307"/>
  <c r="F307"/>
  <c r="E307"/>
  <c r="D307"/>
  <c r="C307"/>
  <c r="B307"/>
  <c r="I306"/>
  <c r="H306"/>
  <c r="G306"/>
  <c r="F306"/>
  <c r="E306"/>
  <c r="D306"/>
  <c r="C306"/>
  <c r="B306"/>
  <c r="I305"/>
  <c r="H305"/>
  <c r="G305"/>
  <c r="F305"/>
  <c r="E305"/>
  <c r="D305"/>
  <c r="C305"/>
  <c r="B305"/>
  <c r="I304"/>
  <c r="H304"/>
  <c r="G304"/>
  <c r="F304"/>
  <c r="E304"/>
  <c r="D304"/>
  <c r="C304"/>
  <c r="B304"/>
  <c r="I303"/>
  <c r="H303"/>
  <c r="G303"/>
  <c r="F303"/>
  <c r="E303"/>
  <c r="D303"/>
  <c r="C303"/>
  <c r="B303"/>
  <c r="I302"/>
  <c r="H302"/>
  <c r="G302"/>
  <c r="F302"/>
  <c r="E302"/>
  <c r="D302"/>
  <c r="C302"/>
  <c r="B302"/>
  <c r="I301"/>
  <c r="H301"/>
  <c r="G301"/>
  <c r="F301"/>
  <c r="E301"/>
  <c r="D301"/>
  <c r="C301"/>
  <c r="B301"/>
  <c r="I300"/>
  <c r="H300"/>
  <c r="G300"/>
  <c r="F300"/>
  <c r="E300"/>
  <c r="D300"/>
  <c r="C300"/>
  <c r="B300"/>
  <c r="I299"/>
  <c r="H299"/>
  <c r="G299"/>
  <c r="F299"/>
  <c r="E299"/>
  <c r="D299"/>
  <c r="C299"/>
  <c r="B299"/>
  <c r="I298"/>
  <c r="H298"/>
  <c r="G298"/>
  <c r="F298"/>
  <c r="E298"/>
  <c r="D298"/>
  <c r="C298"/>
  <c r="B298"/>
  <c r="I297"/>
  <c r="H297"/>
  <c r="G297"/>
  <c r="F297"/>
  <c r="E297"/>
  <c r="D297"/>
  <c r="C297"/>
  <c r="B297"/>
  <c r="I296"/>
  <c r="H296"/>
  <c r="G296"/>
  <c r="F296"/>
  <c r="E296"/>
  <c r="D296"/>
  <c r="C296"/>
  <c r="B296"/>
  <c r="I295"/>
  <c r="H295"/>
  <c r="G295"/>
  <c r="F295"/>
  <c r="E295"/>
  <c r="D295"/>
  <c r="C295"/>
  <c r="B295"/>
  <c r="I294"/>
  <c r="H294"/>
  <c r="G294"/>
  <c r="F294"/>
  <c r="E294"/>
  <c r="D294"/>
  <c r="C294"/>
  <c r="B294"/>
  <c r="I293"/>
  <c r="H293"/>
  <c r="G293"/>
  <c r="F293"/>
  <c r="E293"/>
  <c r="D293"/>
  <c r="C293"/>
  <c r="B293"/>
  <c r="I292"/>
  <c r="H292"/>
  <c r="G292"/>
  <c r="F292"/>
  <c r="E292"/>
  <c r="D292"/>
  <c r="C292"/>
  <c r="B292"/>
  <c r="I291"/>
  <c r="H291"/>
  <c r="G291"/>
  <c r="F291"/>
  <c r="E291"/>
  <c r="D291"/>
  <c r="C291"/>
  <c r="B291"/>
  <c r="I290"/>
  <c r="H290"/>
  <c r="G290"/>
  <c r="F290"/>
  <c r="E290"/>
  <c r="D290"/>
  <c r="C290"/>
  <c r="B290"/>
  <c r="I289"/>
  <c r="H289"/>
  <c r="G289"/>
  <c r="F289"/>
  <c r="E289"/>
  <c r="D289"/>
  <c r="C289"/>
  <c r="B289"/>
  <c r="I288"/>
  <c r="H288"/>
  <c r="G288"/>
  <c r="F288"/>
  <c r="E288"/>
  <c r="D288"/>
  <c r="C288"/>
  <c r="B288"/>
  <c r="I287"/>
  <c r="H287"/>
  <c r="G287"/>
  <c r="F287"/>
  <c r="E287"/>
  <c r="D287"/>
  <c r="C287"/>
  <c r="B287"/>
  <c r="I286"/>
  <c r="H286"/>
  <c r="G286"/>
  <c r="F286"/>
  <c r="E286"/>
  <c r="D286"/>
  <c r="C286"/>
  <c r="B286"/>
  <c r="I285"/>
  <c r="H285"/>
  <c r="G285"/>
  <c r="F285"/>
  <c r="E285"/>
  <c r="D285"/>
  <c r="C285"/>
  <c r="B285"/>
  <c r="I284"/>
  <c r="H284"/>
  <c r="G284"/>
  <c r="F284"/>
  <c r="E284"/>
  <c r="D284"/>
  <c r="C284"/>
  <c r="B284"/>
  <c r="I283"/>
  <c r="H283"/>
  <c r="G283"/>
  <c r="F283"/>
  <c r="E283"/>
  <c r="D283"/>
  <c r="C283"/>
  <c r="B283"/>
  <c r="I282"/>
  <c r="H282"/>
  <c r="G282"/>
  <c r="F282"/>
  <c r="E282"/>
  <c r="D282"/>
  <c r="C282"/>
  <c r="B282"/>
  <c r="I281"/>
  <c r="H281"/>
  <c r="G281"/>
  <c r="F281"/>
  <c r="E281"/>
  <c r="D281"/>
  <c r="C281"/>
  <c r="B281"/>
  <c r="I280"/>
  <c r="H280"/>
  <c r="G280"/>
  <c r="F280"/>
  <c r="E280"/>
  <c r="D280"/>
  <c r="C280"/>
  <c r="B280"/>
  <c r="I279"/>
  <c r="H279"/>
  <c r="G279"/>
  <c r="F279"/>
  <c r="E279"/>
  <c r="D279"/>
  <c r="C279"/>
  <c r="B279"/>
  <c r="I278"/>
  <c r="H278"/>
  <c r="G278"/>
  <c r="F278"/>
  <c r="E278"/>
  <c r="D278"/>
  <c r="C278"/>
  <c r="B278"/>
  <c r="I277"/>
  <c r="H277"/>
  <c r="G277"/>
  <c r="F277"/>
  <c r="E277"/>
  <c r="D277"/>
  <c r="C277"/>
  <c r="B277"/>
  <c r="I276"/>
  <c r="H276"/>
  <c r="G276"/>
  <c r="F276"/>
  <c r="E276"/>
  <c r="D276"/>
  <c r="C276"/>
  <c r="B276"/>
  <c r="I275"/>
  <c r="H275"/>
  <c r="G275"/>
  <c r="F275"/>
  <c r="E275"/>
  <c r="D275"/>
  <c r="C275"/>
  <c r="B275"/>
  <c r="I274"/>
  <c r="H274"/>
  <c r="G274"/>
  <c r="F274"/>
  <c r="E274"/>
  <c r="D274"/>
  <c r="C274"/>
  <c r="B274"/>
  <c r="I273"/>
  <c r="H273"/>
  <c r="G273"/>
  <c r="F273"/>
  <c r="E273"/>
  <c r="D273"/>
  <c r="C273"/>
  <c r="B273"/>
  <c r="I272"/>
  <c r="H272"/>
  <c r="G272"/>
  <c r="F272"/>
  <c r="E272"/>
  <c r="D272"/>
  <c r="C272"/>
  <c r="B272"/>
  <c r="I271"/>
  <c r="H271"/>
  <c r="G271"/>
  <c r="F271"/>
  <c r="E271"/>
  <c r="D271"/>
  <c r="C271"/>
  <c r="B271"/>
  <c r="I270"/>
  <c r="H270"/>
  <c r="G270"/>
  <c r="F270"/>
  <c r="E270"/>
  <c r="D270"/>
  <c r="C270"/>
  <c r="B270"/>
  <c r="I269"/>
  <c r="H269"/>
  <c r="G269"/>
  <c r="F269"/>
  <c r="E269"/>
  <c r="D269"/>
  <c r="C269"/>
  <c r="B269"/>
  <c r="I268"/>
  <c r="H268"/>
  <c r="G268"/>
  <c r="F268"/>
  <c r="E268"/>
  <c r="D268"/>
  <c r="C268"/>
  <c r="B268"/>
  <c r="I267"/>
  <c r="H267"/>
  <c r="G267"/>
  <c r="F267"/>
  <c r="E267"/>
  <c r="D267"/>
  <c r="C267"/>
  <c r="B267"/>
  <c r="I266"/>
  <c r="H266"/>
  <c r="G266"/>
  <c r="F266"/>
  <c r="E266"/>
  <c r="D266"/>
  <c r="C266"/>
  <c r="B266"/>
  <c r="I265"/>
  <c r="H265"/>
  <c r="G265"/>
  <c r="F265"/>
  <c r="E265"/>
  <c r="D265"/>
  <c r="C265"/>
  <c r="B265"/>
  <c r="I264"/>
  <c r="H264"/>
  <c r="G264"/>
  <c r="F264"/>
  <c r="E264"/>
  <c r="D264"/>
  <c r="C264"/>
  <c r="B264"/>
  <c r="I263"/>
  <c r="H263"/>
  <c r="G263"/>
  <c r="F263"/>
  <c r="E263"/>
  <c r="D263"/>
  <c r="C263"/>
  <c r="B263"/>
  <c r="I262"/>
  <c r="H262"/>
  <c r="G262"/>
  <c r="F262"/>
  <c r="E262"/>
  <c r="D262"/>
  <c r="C262"/>
  <c r="B262"/>
  <c r="I261"/>
  <c r="H261"/>
  <c r="G261"/>
  <c r="F261"/>
  <c r="E261"/>
  <c r="D261"/>
  <c r="C261"/>
  <c r="B261"/>
  <c r="I260"/>
  <c r="H260"/>
  <c r="G260"/>
  <c r="F260"/>
  <c r="E260"/>
  <c r="D260"/>
  <c r="C260"/>
  <c r="B260"/>
  <c r="I259"/>
  <c r="H259"/>
  <c r="G259"/>
  <c r="F259"/>
  <c r="E259"/>
  <c r="D259"/>
  <c r="C259"/>
  <c r="B259"/>
  <c r="I258"/>
  <c r="H258"/>
  <c r="G258"/>
  <c r="F258"/>
  <c r="E258"/>
  <c r="D258"/>
  <c r="C258"/>
  <c r="B258"/>
  <c r="I257"/>
  <c r="H257"/>
  <c r="G257"/>
  <c r="F257"/>
  <c r="E257"/>
  <c r="D257"/>
  <c r="C257"/>
  <c r="B257"/>
  <c r="I256"/>
  <c r="H256"/>
  <c r="G256"/>
  <c r="F256"/>
  <c r="E256"/>
  <c r="D256"/>
  <c r="C256"/>
  <c r="B256"/>
  <c r="I255"/>
  <c r="H255"/>
  <c r="G255"/>
  <c r="F255"/>
  <c r="E255"/>
  <c r="D255"/>
  <c r="C255"/>
  <c r="B255"/>
  <c r="I254"/>
  <c r="H254"/>
  <c r="G254"/>
  <c r="F254"/>
  <c r="E254"/>
  <c r="D254"/>
  <c r="C254"/>
  <c r="B254"/>
  <c r="I253"/>
  <c r="H253"/>
  <c r="G253"/>
  <c r="F253"/>
  <c r="E253"/>
  <c r="D253"/>
  <c r="C253"/>
  <c r="B253"/>
  <c r="I252"/>
  <c r="H252"/>
  <c r="G252"/>
  <c r="F252"/>
  <c r="E252"/>
  <c r="D252"/>
  <c r="C252"/>
  <c r="B252"/>
  <c r="I251"/>
  <c r="H251"/>
  <c r="G251"/>
  <c r="F251"/>
  <c r="E251"/>
  <c r="D251"/>
  <c r="C251"/>
  <c r="B251"/>
  <c r="I250"/>
  <c r="H250"/>
  <c r="G250"/>
  <c r="F250"/>
  <c r="E250"/>
  <c r="D250"/>
  <c r="C250"/>
  <c r="B250"/>
  <c r="I249"/>
  <c r="H249"/>
  <c r="G249"/>
  <c r="F249"/>
  <c r="E249"/>
  <c r="D249"/>
  <c r="C249"/>
  <c r="B249"/>
  <c r="I248"/>
  <c r="H248"/>
  <c r="G248"/>
  <c r="F248"/>
  <c r="E248"/>
  <c r="D248"/>
  <c r="C248"/>
  <c r="B248"/>
  <c r="I247"/>
  <c r="H247"/>
  <c r="G247"/>
  <c r="F247"/>
  <c r="E247"/>
  <c r="D247"/>
  <c r="C247"/>
  <c r="B247"/>
  <c r="I246"/>
  <c r="H246"/>
  <c r="G246"/>
  <c r="F246"/>
  <c r="E246"/>
  <c r="D246"/>
  <c r="C246"/>
  <c r="B246"/>
  <c r="I245"/>
  <c r="H245"/>
  <c r="G245"/>
  <c r="F245"/>
  <c r="E245"/>
  <c r="D245"/>
  <c r="C245"/>
  <c r="B245"/>
  <c r="I244"/>
  <c r="H244"/>
  <c r="G244"/>
  <c r="F244"/>
  <c r="E244"/>
  <c r="D244"/>
  <c r="C244"/>
  <c r="B244"/>
  <c r="I243"/>
  <c r="H243"/>
  <c r="G243"/>
  <c r="F243"/>
  <c r="E243"/>
  <c r="D243"/>
  <c r="C243"/>
  <c r="B243"/>
  <c r="I242"/>
  <c r="H242"/>
  <c r="G242"/>
  <c r="F242"/>
  <c r="E242"/>
  <c r="D242"/>
  <c r="C242"/>
  <c r="B242"/>
  <c r="I241"/>
  <c r="H241"/>
  <c r="G241"/>
  <c r="F241"/>
  <c r="E241"/>
  <c r="D241"/>
  <c r="C241"/>
  <c r="B241"/>
  <c r="I240"/>
  <c r="H240"/>
  <c r="G240"/>
  <c r="F240"/>
  <c r="E240"/>
  <c r="D240"/>
  <c r="C240"/>
  <c r="B240"/>
  <c r="I239"/>
  <c r="H239"/>
  <c r="G239"/>
  <c r="F239"/>
  <c r="E239"/>
  <c r="D239"/>
  <c r="C239"/>
  <c r="B239"/>
  <c r="I238"/>
  <c r="H238"/>
  <c r="G238"/>
  <c r="F238"/>
  <c r="E238"/>
  <c r="D238"/>
  <c r="C238"/>
  <c r="B238"/>
  <c r="I237"/>
  <c r="H237"/>
  <c r="G237"/>
  <c r="F237"/>
  <c r="E237"/>
  <c r="D237"/>
  <c r="C237"/>
  <c r="B237"/>
  <c r="I236"/>
  <c r="H236"/>
  <c r="G236"/>
  <c r="F236"/>
  <c r="E236"/>
  <c r="D236"/>
  <c r="C236"/>
  <c r="B236"/>
  <c r="I235"/>
  <c r="H235"/>
  <c r="G235"/>
  <c r="F235"/>
  <c r="E235"/>
  <c r="D235"/>
  <c r="C235"/>
  <c r="B235"/>
  <c r="I234"/>
  <c r="H234"/>
  <c r="G234"/>
  <c r="F234"/>
  <c r="E234"/>
  <c r="D234"/>
  <c r="C234"/>
  <c r="B234"/>
  <c r="I233"/>
  <c r="H233"/>
  <c r="G233"/>
  <c r="F233"/>
  <c r="E233"/>
  <c r="D233"/>
  <c r="C233"/>
  <c r="B233"/>
  <c r="I232"/>
  <c r="H232"/>
  <c r="G232"/>
  <c r="F232"/>
  <c r="E232"/>
  <c r="D232"/>
  <c r="C232"/>
  <c r="B232"/>
  <c r="I231"/>
  <c r="H231"/>
  <c r="G231"/>
  <c r="F231"/>
  <c r="E231"/>
  <c r="D231"/>
  <c r="C231"/>
  <c r="B231"/>
  <c r="I230"/>
  <c r="H230"/>
  <c r="G230"/>
  <c r="F230"/>
  <c r="E230"/>
  <c r="D230"/>
  <c r="C230"/>
  <c r="B230"/>
  <c r="I229"/>
  <c r="H229"/>
  <c r="G229"/>
  <c r="F229"/>
  <c r="E229"/>
  <c r="D229"/>
  <c r="C229"/>
  <c r="B229"/>
  <c r="I228"/>
  <c r="H228"/>
  <c r="G228"/>
  <c r="F228"/>
  <c r="E228"/>
  <c r="D228"/>
  <c r="C228"/>
  <c r="B228"/>
  <c r="I227"/>
  <c r="H227"/>
  <c r="G227"/>
  <c r="F227"/>
  <c r="E227"/>
  <c r="D227"/>
  <c r="C227"/>
  <c r="B227"/>
  <c r="I226"/>
  <c r="H226"/>
  <c r="G226"/>
  <c r="F226"/>
  <c r="E226"/>
  <c r="D226"/>
  <c r="C226"/>
  <c r="B226"/>
  <c r="I225"/>
  <c r="H225"/>
  <c r="G225"/>
  <c r="F225"/>
  <c r="E225"/>
  <c r="D225"/>
  <c r="C225"/>
  <c r="B225"/>
  <c r="I224"/>
  <c r="H224"/>
  <c r="G224"/>
  <c r="F224"/>
  <c r="E224"/>
  <c r="D224"/>
  <c r="C224"/>
  <c r="B224"/>
  <c r="I223"/>
  <c r="H223"/>
  <c r="G223"/>
  <c r="F223"/>
  <c r="E223"/>
  <c r="D223"/>
  <c r="C223"/>
  <c r="B223"/>
  <c r="I222"/>
  <c r="H222"/>
  <c r="G222"/>
  <c r="F222"/>
  <c r="E222"/>
  <c r="D222"/>
  <c r="C222"/>
  <c r="B222"/>
  <c r="I221"/>
  <c r="H221"/>
  <c r="G221"/>
  <c r="F221"/>
  <c r="E221"/>
  <c r="D221"/>
  <c r="C221"/>
  <c r="B221"/>
  <c r="I220"/>
  <c r="H220"/>
  <c r="G220"/>
  <c r="F220"/>
  <c r="E220"/>
  <c r="D220"/>
  <c r="C220"/>
  <c r="B220"/>
  <c r="I219"/>
  <c r="H219"/>
  <c r="G219"/>
  <c r="F219"/>
  <c r="E219"/>
  <c r="D219"/>
  <c r="C219"/>
  <c r="B219"/>
  <c r="I218"/>
  <c r="H218"/>
  <c r="G218"/>
  <c r="F218"/>
  <c r="E218"/>
  <c r="D218"/>
  <c r="C218"/>
  <c r="B218"/>
  <c r="I217"/>
  <c r="H217"/>
  <c r="G217"/>
  <c r="F217"/>
  <c r="E217"/>
  <c r="D217"/>
  <c r="C217"/>
  <c r="B217"/>
  <c r="I216"/>
  <c r="H216"/>
  <c r="G216"/>
  <c r="F216"/>
  <c r="E216"/>
  <c r="D216"/>
  <c r="C216"/>
  <c r="B216"/>
  <c r="I215"/>
  <c r="H215"/>
  <c r="G215"/>
  <c r="F215"/>
  <c r="E215"/>
  <c r="D215"/>
  <c r="C215"/>
  <c r="B215"/>
  <c r="I214"/>
  <c r="H214"/>
  <c r="G214"/>
  <c r="F214"/>
  <c r="E214"/>
  <c r="D214"/>
  <c r="C214"/>
  <c r="B214"/>
  <c r="I213"/>
  <c r="H213"/>
  <c r="G213"/>
  <c r="F213"/>
  <c r="E213"/>
  <c r="D213"/>
  <c r="C213"/>
  <c r="B213"/>
  <c r="I212"/>
  <c r="H212"/>
  <c r="G212"/>
  <c r="F212"/>
  <c r="E212"/>
  <c r="D212"/>
  <c r="C212"/>
  <c r="B212"/>
  <c r="I211"/>
  <c r="H211"/>
  <c r="G211"/>
  <c r="F211"/>
  <c r="E211"/>
  <c r="D211"/>
  <c r="C211"/>
  <c r="B211"/>
  <c r="I210"/>
  <c r="H210"/>
  <c r="G210"/>
  <c r="F210"/>
  <c r="E210"/>
  <c r="D210"/>
  <c r="C210"/>
  <c r="B210"/>
  <c r="I209"/>
  <c r="H209"/>
  <c r="G209"/>
  <c r="F209"/>
  <c r="E209"/>
  <c r="D209"/>
  <c r="C209"/>
  <c r="B209"/>
  <c r="I208"/>
  <c r="H208"/>
  <c r="G208"/>
  <c r="F208"/>
  <c r="E208"/>
  <c r="D208"/>
  <c r="C208"/>
  <c r="B208"/>
  <c r="I207"/>
  <c r="H207"/>
  <c r="G207"/>
  <c r="F207"/>
  <c r="E207"/>
  <c r="D207"/>
  <c r="C207"/>
  <c r="B207"/>
  <c r="I206"/>
  <c r="H206"/>
  <c r="G206"/>
  <c r="F206"/>
  <c r="E206"/>
  <c r="D206"/>
  <c r="C206"/>
  <c r="B206"/>
  <c r="I205"/>
  <c r="H205"/>
  <c r="G205"/>
  <c r="F205"/>
  <c r="E205"/>
  <c r="D205"/>
  <c r="C205"/>
  <c r="B205"/>
  <c r="I204"/>
  <c r="H204"/>
  <c r="G204"/>
  <c r="F204"/>
  <c r="E204"/>
  <c r="D204"/>
  <c r="C204"/>
  <c r="B204"/>
  <c r="I203"/>
  <c r="H203"/>
  <c r="G203"/>
  <c r="F203"/>
  <c r="E203"/>
  <c r="D203"/>
  <c r="C203"/>
  <c r="B203"/>
  <c r="I202"/>
  <c r="H202"/>
  <c r="G202"/>
  <c r="F202"/>
  <c r="E202"/>
  <c r="D202"/>
  <c r="C202"/>
  <c r="B202"/>
  <c r="I201"/>
  <c r="H201"/>
  <c r="G201"/>
  <c r="F201"/>
  <c r="E201"/>
  <c r="D201"/>
  <c r="C201"/>
  <c r="B201"/>
  <c r="I200"/>
  <c r="H200"/>
  <c r="G200"/>
  <c r="F200"/>
  <c r="E200"/>
  <c r="D200"/>
  <c r="C200"/>
  <c r="B200"/>
  <c r="I199"/>
  <c r="H199"/>
  <c r="G199"/>
  <c r="F199"/>
  <c r="E199"/>
  <c r="D199"/>
  <c r="C199"/>
  <c r="B199"/>
  <c r="I198"/>
  <c r="H198"/>
  <c r="G198"/>
  <c r="F198"/>
  <c r="E198"/>
  <c r="D198"/>
  <c r="C198"/>
  <c r="B198"/>
  <c r="I197"/>
  <c r="H197"/>
  <c r="G197"/>
  <c r="F197"/>
  <c r="E197"/>
  <c r="D197"/>
  <c r="C197"/>
  <c r="B197"/>
  <c r="I196"/>
  <c r="H196"/>
  <c r="G196"/>
  <c r="F196"/>
  <c r="E196"/>
  <c r="D196"/>
  <c r="C196"/>
  <c r="B196"/>
  <c r="I195"/>
  <c r="H195"/>
  <c r="G195"/>
  <c r="F195"/>
  <c r="E195"/>
  <c r="D195"/>
  <c r="C195"/>
  <c r="B195"/>
  <c r="I194"/>
  <c r="H194"/>
  <c r="G194"/>
  <c r="F194"/>
  <c r="E194"/>
  <c r="D194"/>
  <c r="C194"/>
  <c r="B194"/>
  <c r="I193"/>
  <c r="H193"/>
  <c r="G193"/>
  <c r="F193"/>
  <c r="E193"/>
  <c r="D193"/>
  <c r="C193"/>
  <c r="B193"/>
  <c r="I192"/>
  <c r="H192"/>
  <c r="G192"/>
  <c r="F192"/>
  <c r="E192"/>
  <c r="D192"/>
  <c r="C192"/>
  <c r="B192"/>
  <c r="I191"/>
  <c r="H191"/>
  <c r="G191"/>
  <c r="F191"/>
  <c r="E191"/>
  <c r="D191"/>
  <c r="C191"/>
  <c r="B191"/>
  <c r="I190"/>
  <c r="H190"/>
  <c r="G190"/>
  <c r="F190"/>
  <c r="E190"/>
  <c r="D190"/>
  <c r="C190"/>
  <c r="B190"/>
  <c r="I189"/>
  <c r="H189"/>
  <c r="G189"/>
  <c r="F189"/>
  <c r="E189"/>
  <c r="D189"/>
  <c r="C189"/>
  <c r="B189"/>
  <c r="I188"/>
  <c r="H188"/>
  <c r="G188"/>
  <c r="F188"/>
  <c r="E188"/>
  <c r="D188"/>
  <c r="C188"/>
  <c r="B188"/>
  <c r="I187"/>
  <c r="H187"/>
  <c r="G187"/>
  <c r="F187"/>
  <c r="E187"/>
  <c r="D187"/>
  <c r="C187"/>
  <c r="B187"/>
  <c r="I186"/>
  <c r="H186"/>
  <c r="G186"/>
  <c r="F186"/>
  <c r="E186"/>
  <c r="D186"/>
  <c r="C186"/>
  <c r="B186"/>
  <c r="I185"/>
  <c r="H185"/>
  <c r="G185"/>
  <c r="F185"/>
  <c r="E185"/>
  <c r="D185"/>
  <c r="C185"/>
  <c r="B185"/>
  <c r="I184"/>
  <c r="H184"/>
  <c r="G184"/>
  <c r="F184"/>
  <c r="E184"/>
  <c r="D184"/>
  <c r="C184"/>
  <c r="B184"/>
  <c r="I183"/>
  <c r="H183"/>
  <c r="G183"/>
  <c r="F183"/>
  <c r="E183"/>
  <c r="D183"/>
  <c r="C183"/>
  <c r="B183"/>
  <c r="I182"/>
  <c r="H182"/>
  <c r="G182"/>
  <c r="F182"/>
  <c r="E182"/>
  <c r="D182"/>
  <c r="C182"/>
  <c r="B182"/>
  <c r="I181"/>
  <c r="H181"/>
  <c r="G181"/>
  <c r="F181"/>
  <c r="E181"/>
  <c r="D181"/>
  <c r="C181"/>
  <c r="B181"/>
  <c r="I180"/>
  <c r="H180"/>
  <c r="G180"/>
  <c r="F180"/>
  <c r="E180"/>
  <c r="D180"/>
  <c r="C180"/>
  <c r="B180"/>
  <c r="I179"/>
  <c r="H179"/>
  <c r="G179"/>
  <c r="F179"/>
  <c r="E179"/>
  <c r="D179"/>
  <c r="C179"/>
  <c r="B179"/>
  <c r="I178"/>
  <c r="H178"/>
  <c r="G178"/>
  <c r="F178"/>
  <c r="E178"/>
  <c r="D178"/>
  <c r="C178"/>
  <c r="B178"/>
  <c r="I177"/>
  <c r="H177"/>
  <c r="G177"/>
  <c r="F177"/>
  <c r="E177"/>
  <c r="D177"/>
  <c r="C177"/>
  <c r="B177"/>
  <c r="I176"/>
  <c r="H176"/>
  <c r="G176"/>
  <c r="F176"/>
  <c r="E176"/>
  <c r="D176"/>
  <c r="C176"/>
  <c r="B176"/>
  <c r="I175"/>
  <c r="H175"/>
  <c r="G175"/>
  <c r="F175"/>
  <c r="E175"/>
  <c r="D175"/>
  <c r="C175"/>
  <c r="B175"/>
  <c r="I174"/>
  <c r="H174"/>
  <c r="G174"/>
  <c r="F174"/>
  <c r="E174"/>
  <c r="D174"/>
  <c r="C174"/>
  <c r="B174"/>
  <c r="I173"/>
  <c r="H173"/>
  <c r="G173"/>
  <c r="F173"/>
  <c r="E173"/>
  <c r="D173"/>
  <c r="C173"/>
  <c r="B173"/>
  <c r="I172"/>
  <c r="H172"/>
  <c r="G172"/>
  <c r="F172"/>
  <c r="E172"/>
  <c r="D172"/>
  <c r="C172"/>
  <c r="B172"/>
  <c r="I171"/>
  <c r="H171"/>
  <c r="G171"/>
  <c r="F171"/>
  <c r="E171"/>
  <c r="D171"/>
  <c r="C171"/>
  <c r="B171"/>
  <c r="I170"/>
  <c r="H170"/>
  <c r="G170"/>
  <c r="F170"/>
  <c r="E170"/>
  <c r="D170"/>
  <c r="C170"/>
  <c r="B170"/>
  <c r="I169"/>
  <c r="H169"/>
  <c r="G169"/>
  <c r="F169"/>
  <c r="E169"/>
  <c r="D169"/>
  <c r="C169"/>
  <c r="B169"/>
  <c r="I168"/>
  <c r="H168"/>
  <c r="G168"/>
  <c r="F168"/>
  <c r="E168"/>
  <c r="D168"/>
  <c r="C168"/>
  <c r="B168"/>
  <c r="I167"/>
  <c r="H167"/>
  <c r="G167"/>
  <c r="F167"/>
  <c r="E167"/>
  <c r="D167"/>
  <c r="C167"/>
  <c r="B167"/>
  <c r="I166"/>
  <c r="H166"/>
  <c r="G166"/>
  <c r="F166"/>
  <c r="E166"/>
  <c r="D166"/>
  <c r="C166"/>
  <c r="B166"/>
  <c r="I165"/>
  <c r="H165"/>
  <c r="G165"/>
  <c r="F165"/>
  <c r="E165"/>
  <c r="D165"/>
  <c r="C165"/>
  <c r="B165"/>
  <c r="I164"/>
  <c r="H164"/>
  <c r="G164"/>
  <c r="F164"/>
  <c r="E164"/>
  <c r="D164"/>
  <c r="C164"/>
  <c r="B164"/>
  <c r="I163"/>
  <c r="H163"/>
  <c r="G163"/>
  <c r="F163"/>
  <c r="E163"/>
  <c r="D163"/>
  <c r="C163"/>
  <c r="B163"/>
  <c r="I162"/>
  <c r="H162"/>
  <c r="G162"/>
  <c r="F162"/>
  <c r="E162"/>
  <c r="D162"/>
  <c r="C162"/>
  <c r="B162"/>
  <c r="I161"/>
  <c r="H161"/>
  <c r="G161"/>
  <c r="F161"/>
  <c r="E161"/>
  <c r="D161"/>
  <c r="C161"/>
  <c r="B161"/>
  <c r="I160"/>
  <c r="H160"/>
  <c r="G160"/>
  <c r="F160"/>
  <c r="E160"/>
  <c r="D160"/>
  <c r="C160"/>
  <c r="B160"/>
  <c r="I159"/>
  <c r="H159"/>
  <c r="G159"/>
  <c r="F159"/>
  <c r="E159"/>
  <c r="D159"/>
  <c r="C159"/>
  <c r="B159"/>
  <c r="I158"/>
  <c r="H158"/>
  <c r="G158"/>
  <c r="F158"/>
  <c r="E158"/>
  <c r="D158"/>
  <c r="C158"/>
  <c r="B158"/>
  <c r="I157"/>
  <c r="H157"/>
  <c r="G157"/>
  <c r="F157"/>
  <c r="E157"/>
  <c r="D157"/>
  <c r="C157"/>
  <c r="B157"/>
  <c r="I156"/>
  <c r="H156"/>
  <c r="G156"/>
  <c r="F156"/>
  <c r="E156"/>
  <c r="D156"/>
  <c r="C156"/>
  <c r="B156"/>
  <c r="I155"/>
  <c r="H155"/>
  <c r="G155"/>
  <c r="F155"/>
  <c r="E155"/>
  <c r="D155"/>
  <c r="C155"/>
  <c r="B155"/>
  <c r="I154"/>
  <c r="H154"/>
  <c r="G154"/>
  <c r="F154"/>
  <c r="E154"/>
  <c r="D154"/>
  <c r="C154"/>
  <c r="B154"/>
  <c r="I153"/>
  <c r="H153"/>
  <c r="G153"/>
  <c r="F153"/>
  <c r="E153"/>
  <c r="D153"/>
  <c r="C153"/>
  <c r="B153"/>
  <c r="I152"/>
  <c r="H152"/>
  <c r="G152"/>
  <c r="F152"/>
  <c r="E152"/>
  <c r="D152"/>
  <c r="C152"/>
  <c r="B152"/>
  <c r="I151"/>
  <c r="H151"/>
  <c r="G151"/>
  <c r="F151"/>
  <c r="E151"/>
  <c r="D151"/>
  <c r="C151"/>
  <c r="B151"/>
  <c r="I150"/>
  <c r="H150"/>
  <c r="G150"/>
  <c r="F150"/>
  <c r="E150"/>
  <c r="D150"/>
  <c r="C150"/>
  <c r="B150"/>
  <c r="I149"/>
  <c r="H149"/>
  <c r="G149"/>
  <c r="F149"/>
  <c r="E149"/>
  <c r="D149"/>
  <c r="C149"/>
  <c r="B149"/>
  <c r="I148"/>
  <c r="H148"/>
  <c r="G148"/>
  <c r="F148"/>
  <c r="E148"/>
  <c r="D148"/>
  <c r="C148"/>
  <c r="B148"/>
  <c r="I147"/>
  <c r="H147"/>
  <c r="G147"/>
  <c r="F147"/>
  <c r="E147"/>
  <c r="D147"/>
  <c r="C147"/>
  <c r="B147"/>
  <c r="I146"/>
  <c r="H146"/>
  <c r="G146"/>
  <c r="F146"/>
  <c r="E146"/>
  <c r="D146"/>
  <c r="C146"/>
  <c r="B146"/>
  <c r="I145"/>
  <c r="H145"/>
  <c r="G145"/>
  <c r="F145"/>
  <c r="E145"/>
  <c r="D145"/>
  <c r="C145"/>
  <c r="B145"/>
  <c r="I144"/>
  <c r="H144"/>
  <c r="G144"/>
  <c r="F144"/>
  <c r="E144"/>
  <c r="D144"/>
  <c r="C144"/>
  <c r="B144"/>
  <c r="I143"/>
  <c r="H143"/>
  <c r="G143"/>
  <c r="F143"/>
  <c r="E143"/>
  <c r="D143"/>
  <c r="C143"/>
  <c r="B143"/>
  <c r="I142"/>
  <c r="H142"/>
  <c r="G142"/>
  <c r="F142"/>
  <c r="E142"/>
  <c r="D142"/>
  <c r="C142"/>
  <c r="B142"/>
  <c r="I141"/>
  <c r="H141"/>
  <c r="G141"/>
  <c r="F141"/>
  <c r="E141"/>
  <c r="D141"/>
  <c r="C141"/>
  <c r="B141"/>
  <c r="I140"/>
  <c r="H140"/>
  <c r="G140"/>
  <c r="F140"/>
  <c r="E140"/>
  <c r="D140"/>
  <c r="C140"/>
  <c r="B140"/>
  <c r="I139"/>
  <c r="H139"/>
  <c r="G139"/>
  <c r="F139"/>
  <c r="E139"/>
  <c r="D139"/>
  <c r="C139"/>
  <c r="B139"/>
  <c r="I138"/>
  <c r="H138"/>
  <c r="G138"/>
  <c r="F138"/>
  <c r="E138"/>
  <c r="D138"/>
  <c r="C138"/>
  <c r="B138"/>
  <c r="I137"/>
  <c r="H137"/>
  <c r="G137"/>
  <c r="F137"/>
  <c r="E137"/>
  <c r="D137"/>
  <c r="C137"/>
  <c r="B137"/>
  <c r="I136"/>
  <c r="H136"/>
  <c r="G136"/>
  <c r="F136"/>
  <c r="E136"/>
  <c r="D136"/>
  <c r="C136"/>
  <c r="B136"/>
  <c r="I135"/>
  <c r="H135"/>
  <c r="G135"/>
  <c r="F135"/>
  <c r="E135"/>
  <c r="D135"/>
  <c r="C135"/>
  <c r="B135"/>
  <c r="I134"/>
  <c r="H134"/>
  <c r="G134"/>
  <c r="F134"/>
  <c r="E134"/>
  <c r="D134"/>
  <c r="C134"/>
  <c r="B134"/>
  <c r="I133"/>
  <c r="H133"/>
  <c r="G133"/>
  <c r="F133"/>
  <c r="E133"/>
  <c r="D133"/>
  <c r="C133"/>
  <c r="B133"/>
  <c r="I132"/>
  <c r="H132"/>
  <c r="G132"/>
  <c r="F132"/>
  <c r="E132"/>
  <c r="D132"/>
  <c r="C132"/>
  <c r="B132"/>
  <c r="I131"/>
  <c r="H131"/>
  <c r="G131"/>
  <c r="F131"/>
  <c r="E131"/>
  <c r="D131"/>
  <c r="C131"/>
  <c r="B131"/>
  <c r="I130"/>
  <c r="H130"/>
  <c r="G130"/>
  <c r="F130"/>
  <c r="E130"/>
  <c r="D130"/>
  <c r="C130"/>
  <c r="B130"/>
  <c r="I129"/>
  <c r="H129"/>
  <c r="G129"/>
  <c r="F129"/>
  <c r="E129"/>
  <c r="D129"/>
  <c r="C129"/>
  <c r="B129"/>
  <c r="I128"/>
  <c r="H128"/>
  <c r="G128"/>
  <c r="F128"/>
  <c r="E128"/>
  <c r="D128"/>
  <c r="C128"/>
  <c r="B128"/>
  <c r="I127"/>
  <c r="H127"/>
  <c r="G127"/>
  <c r="F127"/>
  <c r="E127"/>
  <c r="D127"/>
  <c r="C127"/>
  <c r="B127"/>
  <c r="I126"/>
  <c r="H126"/>
  <c r="G126"/>
  <c r="F126"/>
  <c r="E126"/>
  <c r="D126"/>
  <c r="C126"/>
  <c r="B126"/>
  <c r="I125"/>
  <c r="H125"/>
  <c r="G125"/>
  <c r="F125"/>
  <c r="E125"/>
  <c r="D125"/>
  <c r="C125"/>
  <c r="B125"/>
  <c r="I124"/>
  <c r="H124"/>
  <c r="G124"/>
  <c r="F124"/>
  <c r="E124"/>
  <c r="D124"/>
  <c r="C124"/>
  <c r="B124"/>
  <c r="I123"/>
  <c r="H123"/>
  <c r="G123"/>
  <c r="F123"/>
  <c r="E123"/>
  <c r="D123"/>
  <c r="C123"/>
  <c r="B123"/>
  <c r="I122"/>
  <c r="H122"/>
  <c r="G122"/>
  <c r="F122"/>
  <c r="E122"/>
  <c r="D122"/>
  <c r="C122"/>
  <c r="B122"/>
  <c r="I121"/>
  <c r="H121"/>
  <c r="G121"/>
  <c r="F121"/>
  <c r="E121"/>
  <c r="D121"/>
  <c r="C121"/>
  <c r="B121"/>
  <c r="I120"/>
  <c r="H120"/>
  <c r="G120"/>
  <c r="F120"/>
  <c r="E120"/>
  <c r="D120"/>
  <c r="C120"/>
  <c r="B120"/>
  <c r="I119"/>
  <c r="H119"/>
  <c r="G119"/>
  <c r="F119"/>
  <c r="E119"/>
  <c r="D119"/>
  <c r="C119"/>
  <c r="B119"/>
  <c r="I118"/>
  <c r="H118"/>
  <c r="G118"/>
  <c r="F118"/>
  <c r="E118"/>
  <c r="D118"/>
  <c r="C118"/>
  <c r="B118"/>
  <c r="I117"/>
  <c r="H117"/>
  <c r="G117"/>
  <c r="F117"/>
  <c r="E117"/>
  <c r="D117"/>
  <c r="C117"/>
  <c r="B117"/>
  <c r="I116"/>
  <c r="H116"/>
  <c r="G116"/>
  <c r="F116"/>
  <c r="E116"/>
  <c r="D116"/>
  <c r="C116"/>
  <c r="B116"/>
  <c r="I115"/>
  <c r="H115"/>
  <c r="G115"/>
  <c r="F115"/>
  <c r="E115"/>
  <c r="D115"/>
  <c r="C115"/>
  <c r="B115"/>
  <c r="I114"/>
  <c r="H114"/>
  <c r="G114"/>
  <c r="F114"/>
  <c r="E114"/>
  <c r="D114"/>
  <c r="C114"/>
  <c r="B114"/>
  <c r="I113"/>
  <c r="H113"/>
  <c r="G113"/>
  <c r="F113"/>
  <c r="E113"/>
  <c r="D113"/>
  <c r="C113"/>
  <c r="B113"/>
  <c r="I112"/>
  <c r="H112"/>
  <c r="G112"/>
  <c r="F112"/>
  <c r="E112"/>
  <c r="D112"/>
  <c r="C112"/>
  <c r="B112"/>
  <c r="I111"/>
  <c r="H111"/>
  <c r="G111"/>
  <c r="F111"/>
  <c r="E111"/>
  <c r="D111"/>
  <c r="C111"/>
  <c r="B111"/>
  <c r="I110"/>
  <c r="H110"/>
  <c r="G110"/>
  <c r="F110"/>
  <c r="E110"/>
  <c r="D110"/>
  <c r="C110"/>
  <c r="B110"/>
  <c r="I109"/>
  <c r="H109"/>
  <c r="G109"/>
  <c r="F109"/>
  <c r="E109"/>
  <c r="D109"/>
  <c r="C109"/>
  <c r="B109"/>
  <c r="I108"/>
  <c r="H108"/>
  <c r="G108"/>
  <c r="F108"/>
  <c r="E108"/>
  <c r="D108"/>
  <c r="C108"/>
  <c r="B108"/>
  <c r="I107"/>
  <c r="H107"/>
  <c r="G107"/>
  <c r="F107"/>
  <c r="E107"/>
  <c r="D107"/>
  <c r="C107"/>
  <c r="B107"/>
  <c r="I106"/>
  <c r="H106"/>
  <c r="G106"/>
  <c r="F106"/>
  <c r="E106"/>
  <c r="D106"/>
  <c r="C106"/>
  <c r="B106"/>
  <c r="I105"/>
  <c r="H105"/>
  <c r="G105"/>
  <c r="F105"/>
  <c r="E105"/>
  <c r="D105"/>
  <c r="C105"/>
  <c r="B105"/>
  <c r="I104"/>
  <c r="H104"/>
  <c r="G104"/>
  <c r="F104"/>
  <c r="E104"/>
  <c r="D104"/>
  <c r="C104"/>
  <c r="B104"/>
  <c r="I103"/>
  <c r="H103"/>
  <c r="G103"/>
  <c r="F103"/>
  <c r="E103"/>
  <c r="D103"/>
  <c r="C103"/>
  <c r="B103"/>
  <c r="I102"/>
  <c r="H102"/>
  <c r="G102"/>
  <c r="F102"/>
  <c r="E102"/>
  <c r="D102"/>
  <c r="C102"/>
  <c r="B102"/>
  <c r="I101"/>
  <c r="H101"/>
  <c r="G101"/>
  <c r="F101"/>
  <c r="E101"/>
  <c r="D101"/>
  <c r="C101"/>
  <c r="B101"/>
  <c r="I100"/>
  <c r="H100"/>
  <c r="G100"/>
  <c r="F100"/>
  <c r="E100"/>
  <c r="D100"/>
  <c r="C100"/>
  <c r="B100"/>
  <c r="I99"/>
  <c r="H99"/>
  <c r="G99"/>
  <c r="F99"/>
  <c r="E99"/>
  <c r="D99"/>
  <c r="C99"/>
  <c r="B99"/>
  <c r="I98"/>
  <c r="H98"/>
  <c r="G98"/>
  <c r="F98"/>
  <c r="E98"/>
  <c r="D98"/>
  <c r="C98"/>
  <c r="B98"/>
  <c r="I97"/>
  <c r="H97"/>
  <c r="G97"/>
  <c r="F97"/>
  <c r="E97"/>
  <c r="D97"/>
  <c r="C97"/>
  <c r="B97"/>
  <c r="I96"/>
  <c r="H96"/>
  <c r="G96"/>
  <c r="F96"/>
  <c r="E96"/>
  <c r="D96"/>
  <c r="C96"/>
  <c r="B96"/>
  <c r="I95"/>
  <c r="H95"/>
  <c r="G95"/>
  <c r="F95"/>
  <c r="E95"/>
  <c r="D95"/>
  <c r="C95"/>
  <c r="B95"/>
  <c r="I94"/>
  <c r="H94"/>
  <c r="G94"/>
  <c r="F94"/>
  <c r="E94"/>
  <c r="D94"/>
  <c r="C94"/>
  <c r="B94"/>
  <c r="I93"/>
  <c r="H93"/>
  <c r="G93"/>
  <c r="F93"/>
  <c r="E93"/>
  <c r="D93"/>
  <c r="C93"/>
  <c r="B93"/>
  <c r="I92"/>
  <c r="H92"/>
  <c r="G92"/>
  <c r="F92"/>
  <c r="E92"/>
  <c r="D92"/>
  <c r="C92"/>
  <c r="B92"/>
  <c r="I91"/>
  <c r="H91"/>
  <c r="G91"/>
  <c r="F91"/>
  <c r="E91"/>
  <c r="D91"/>
  <c r="C91"/>
  <c r="B91"/>
  <c r="I90"/>
  <c r="H90"/>
  <c r="G90"/>
  <c r="F90"/>
  <c r="E90"/>
  <c r="D90"/>
  <c r="C90"/>
  <c r="B90"/>
  <c r="I89"/>
  <c r="H89"/>
  <c r="G89"/>
  <c r="F89"/>
  <c r="E89"/>
  <c r="D89"/>
  <c r="C89"/>
  <c r="B89"/>
  <c r="I88"/>
  <c r="H88"/>
  <c r="G88"/>
  <c r="F88"/>
  <c r="E88"/>
  <c r="D88"/>
  <c r="C88"/>
  <c r="B88"/>
  <c r="I87"/>
  <c r="H87"/>
  <c r="G87"/>
  <c r="F87"/>
  <c r="E87"/>
  <c r="D87"/>
  <c r="C87"/>
  <c r="B87"/>
  <c r="I86"/>
  <c r="H86"/>
  <c r="G86"/>
  <c r="F86"/>
  <c r="E86"/>
  <c r="D86"/>
  <c r="C86"/>
  <c r="B86"/>
  <c r="I85"/>
  <c r="H85"/>
  <c r="G85"/>
  <c r="F85"/>
  <c r="E85"/>
  <c r="D85"/>
  <c r="C85"/>
  <c r="B85"/>
  <c r="I84"/>
  <c r="H84"/>
  <c r="G84"/>
  <c r="F84"/>
  <c r="E84"/>
  <c r="D84"/>
  <c r="C84"/>
  <c r="B84"/>
  <c r="I83"/>
  <c r="H83"/>
  <c r="G83"/>
  <c r="F83"/>
  <c r="E83"/>
  <c r="D83"/>
  <c r="C83"/>
  <c r="B83"/>
  <c r="I82"/>
  <c r="H82"/>
  <c r="G82"/>
  <c r="F82"/>
  <c r="E82"/>
  <c r="D82"/>
  <c r="C82"/>
  <c r="B82"/>
  <c r="I81"/>
  <c r="H81"/>
  <c r="G81"/>
  <c r="F81"/>
  <c r="E81"/>
  <c r="D81"/>
  <c r="C81"/>
  <c r="B81"/>
  <c r="I80"/>
  <c r="H80"/>
  <c r="G80"/>
  <c r="F80"/>
  <c r="E80"/>
  <c r="D80"/>
  <c r="C80"/>
  <c r="B80"/>
  <c r="I79"/>
  <c r="H79"/>
  <c r="G79"/>
  <c r="F79"/>
  <c r="E79"/>
  <c r="D79"/>
  <c r="C79"/>
  <c r="B79"/>
  <c r="I78"/>
  <c r="H78"/>
  <c r="G78"/>
  <c r="F78"/>
  <c r="E78"/>
  <c r="D78"/>
  <c r="C78"/>
  <c r="B78"/>
  <c r="I77"/>
  <c r="H77"/>
  <c r="G77"/>
  <c r="F77"/>
  <c r="E77"/>
  <c r="D77"/>
  <c r="C77"/>
  <c r="B77"/>
  <c r="I76"/>
  <c r="H76"/>
  <c r="G76"/>
  <c r="F76"/>
  <c r="E76"/>
  <c r="D76"/>
  <c r="C76"/>
  <c r="B76"/>
  <c r="I75"/>
  <c r="H75"/>
  <c r="G75"/>
  <c r="F75"/>
  <c r="E75"/>
  <c r="D75"/>
  <c r="C75"/>
  <c r="B75"/>
  <c r="I74"/>
  <c r="H74"/>
  <c r="G74"/>
  <c r="F74"/>
  <c r="E74"/>
  <c r="D74"/>
  <c r="C74"/>
  <c r="B74"/>
  <c r="I73"/>
  <c r="H73"/>
  <c r="G73"/>
  <c r="F73"/>
  <c r="E73"/>
  <c r="D73"/>
  <c r="C73"/>
  <c r="B73"/>
  <c r="I72"/>
  <c r="H72"/>
  <c r="G72"/>
  <c r="F72"/>
  <c r="E72"/>
  <c r="D72"/>
  <c r="C72"/>
  <c r="B72"/>
  <c r="I71"/>
  <c r="H71"/>
  <c r="G71"/>
  <c r="F71"/>
  <c r="E71"/>
  <c r="D71"/>
  <c r="C71"/>
  <c r="B71"/>
  <c r="I70"/>
  <c r="H70"/>
  <c r="G70"/>
  <c r="F70"/>
  <c r="E70"/>
  <c r="D70"/>
  <c r="C70"/>
  <c r="B70"/>
  <c r="I69"/>
  <c r="H69"/>
  <c r="G69"/>
  <c r="F69"/>
  <c r="E69"/>
  <c r="D69"/>
  <c r="C69"/>
  <c r="B69"/>
  <c r="I68"/>
  <c r="H68"/>
  <c r="G68"/>
  <c r="F68"/>
  <c r="E68"/>
  <c r="D68"/>
  <c r="C68"/>
  <c r="B68"/>
  <c r="I67"/>
  <c r="H67"/>
  <c r="G67"/>
  <c r="F67"/>
  <c r="E67"/>
  <c r="D67"/>
  <c r="C67"/>
  <c r="B67"/>
  <c r="I66"/>
  <c r="H66"/>
  <c r="G66"/>
  <c r="F66"/>
  <c r="E66"/>
  <c r="D66"/>
  <c r="C66"/>
  <c r="B66"/>
  <c r="I65"/>
  <c r="H65"/>
  <c r="G65"/>
  <c r="F65"/>
  <c r="E65"/>
  <c r="D65"/>
  <c r="C65"/>
  <c r="B65"/>
  <c r="I64"/>
  <c r="H64"/>
  <c r="G64"/>
  <c r="F64"/>
  <c r="E64"/>
  <c r="D64"/>
  <c r="C64"/>
  <c r="B64"/>
  <c r="I63"/>
  <c r="H63"/>
  <c r="G63"/>
  <c r="F63"/>
  <c r="E63"/>
  <c r="D63"/>
  <c r="C63"/>
  <c r="B63"/>
  <c r="I62"/>
  <c r="H62"/>
  <c r="G62"/>
  <c r="F62"/>
  <c r="E62"/>
  <c r="D62"/>
  <c r="C62"/>
  <c r="B62"/>
  <c r="I61"/>
  <c r="H61"/>
  <c r="G61"/>
  <c r="F61"/>
  <c r="E61"/>
  <c r="D61"/>
  <c r="C61"/>
  <c r="B61"/>
  <c r="I60"/>
  <c r="H60"/>
  <c r="G60"/>
  <c r="F60"/>
  <c r="E60"/>
  <c r="D60"/>
  <c r="C60"/>
  <c r="B60"/>
  <c r="I59"/>
  <c r="H59"/>
  <c r="G59"/>
  <c r="F59"/>
  <c r="E59"/>
  <c r="D59"/>
  <c r="C59"/>
  <c r="B59"/>
  <c r="I58"/>
  <c r="H58"/>
  <c r="G58"/>
  <c r="F58"/>
  <c r="E58"/>
  <c r="D58"/>
  <c r="C58"/>
  <c r="B58"/>
  <c r="I57"/>
  <c r="H57"/>
  <c r="G57"/>
  <c r="F57"/>
  <c r="E57"/>
  <c r="D57"/>
  <c r="C57"/>
  <c r="B57"/>
  <c r="I56"/>
  <c r="H56"/>
  <c r="G56"/>
  <c r="F56"/>
  <c r="E56"/>
  <c r="D56"/>
  <c r="C56"/>
  <c r="B56"/>
  <c r="I55"/>
  <c r="H55"/>
  <c r="G55"/>
  <c r="F55"/>
  <c r="E55"/>
  <c r="D55"/>
  <c r="C55"/>
  <c r="B55"/>
  <c r="I54"/>
  <c r="H54"/>
  <c r="G54"/>
  <c r="F54"/>
  <c r="E54"/>
  <c r="D54"/>
  <c r="C54"/>
  <c r="B54"/>
  <c r="I53"/>
  <c r="H53"/>
  <c r="G53"/>
  <c r="F53"/>
  <c r="E53"/>
  <c r="D53"/>
  <c r="C53"/>
  <c r="B53"/>
  <c r="I52"/>
  <c r="H52"/>
  <c r="G52"/>
  <c r="F52"/>
  <c r="E52"/>
  <c r="D52"/>
  <c r="C52"/>
  <c r="B52"/>
  <c r="I51"/>
  <c r="H51"/>
  <c r="G51"/>
  <c r="F51"/>
  <c r="E51"/>
  <c r="D51"/>
  <c r="C51"/>
  <c r="B51"/>
  <c r="I50"/>
  <c r="H50"/>
  <c r="G50"/>
  <c r="F50"/>
  <c r="E50"/>
  <c r="D50"/>
  <c r="C50"/>
  <c r="B50"/>
  <c r="I49"/>
  <c r="H49"/>
  <c r="G49"/>
  <c r="F49"/>
  <c r="E49"/>
  <c r="D49"/>
  <c r="C49"/>
  <c r="B49"/>
  <c r="I48"/>
  <c r="H48"/>
  <c r="G48"/>
  <c r="F48"/>
  <c r="E48"/>
  <c r="D48"/>
  <c r="C48"/>
  <c r="B48"/>
  <c r="I47"/>
  <c r="H47"/>
  <c r="G47"/>
  <c r="F47"/>
  <c r="E47"/>
  <c r="D47"/>
  <c r="C47"/>
  <c r="B47"/>
  <c r="I46"/>
  <c r="H46"/>
  <c r="G46"/>
  <c r="F46"/>
  <c r="E46"/>
  <c r="D46"/>
  <c r="C46"/>
  <c r="B46"/>
  <c r="I45"/>
  <c r="H45"/>
  <c r="G45"/>
  <c r="F45"/>
  <c r="E45"/>
  <c r="D45"/>
  <c r="C45"/>
  <c r="B45"/>
  <c r="I44"/>
  <c r="H44"/>
  <c r="G44"/>
  <c r="F44"/>
  <c r="E44"/>
  <c r="D44"/>
  <c r="C44"/>
  <c r="B44"/>
  <c r="I43"/>
  <c r="H43"/>
  <c r="G43"/>
  <c r="F43"/>
  <c r="E43"/>
  <c r="D43"/>
  <c r="C43"/>
  <c r="B43"/>
  <c r="I42"/>
  <c r="H42"/>
  <c r="G42"/>
  <c r="F42"/>
  <c r="E42"/>
  <c r="D42"/>
  <c r="C42"/>
  <c r="B42"/>
  <c r="I41"/>
  <c r="H41"/>
  <c r="G41"/>
  <c r="F41"/>
  <c r="E41"/>
  <c r="D41"/>
  <c r="C41"/>
  <c r="B41"/>
  <c r="I40"/>
  <c r="H40"/>
  <c r="G40"/>
  <c r="F40"/>
  <c r="E40"/>
  <c r="D40"/>
  <c r="C40"/>
  <c r="B40"/>
  <c r="I39"/>
  <c r="H39"/>
  <c r="G39"/>
  <c r="F39"/>
  <c r="E39"/>
  <c r="D39"/>
  <c r="C39"/>
  <c r="B39"/>
  <c r="I38"/>
  <c r="H38"/>
  <c r="G38"/>
  <c r="F38"/>
  <c r="E38"/>
  <c r="D38"/>
  <c r="C38"/>
  <c r="B38"/>
  <c r="I37"/>
  <c r="H37"/>
  <c r="G37"/>
  <c r="F37"/>
  <c r="E37"/>
  <c r="D37"/>
  <c r="C37"/>
  <c r="B37"/>
  <c r="I36"/>
  <c r="H36"/>
  <c r="G36"/>
  <c r="F36"/>
  <c r="E36"/>
  <c r="D36"/>
  <c r="C36"/>
  <c r="B36"/>
  <c r="I35"/>
  <c r="H35"/>
  <c r="G35"/>
  <c r="F35"/>
  <c r="E35"/>
  <c r="D35"/>
  <c r="C35"/>
  <c r="B35"/>
  <c r="I34"/>
  <c r="H34"/>
  <c r="G34"/>
  <c r="F34"/>
  <c r="E34"/>
  <c r="D34"/>
  <c r="C34"/>
  <c r="B34"/>
  <c r="I33"/>
  <c r="H33"/>
  <c r="G33"/>
  <c r="F33"/>
  <c r="E33"/>
  <c r="D33"/>
  <c r="C33"/>
  <c r="B33"/>
  <c r="I32"/>
  <c r="H32"/>
  <c r="G32"/>
  <c r="F32"/>
  <c r="E32"/>
  <c r="D32"/>
  <c r="C32"/>
  <c r="B32"/>
  <c r="I31"/>
  <c r="H31"/>
  <c r="G31"/>
  <c r="F31"/>
  <c r="E31"/>
  <c r="D31"/>
  <c r="C31"/>
  <c r="B31"/>
  <c r="I30"/>
  <c r="H30"/>
  <c r="G30"/>
  <c r="F30"/>
  <c r="E30"/>
  <c r="D30"/>
  <c r="C30"/>
  <c r="B30"/>
  <c r="I29"/>
  <c r="H29"/>
  <c r="G29"/>
  <c r="F29"/>
  <c r="D29"/>
  <c r="C29"/>
  <c r="B29"/>
  <c r="I28"/>
  <c r="H28"/>
  <c r="G28"/>
  <c r="F28"/>
  <c r="E28"/>
  <c r="D28"/>
  <c r="C28"/>
  <c r="B28"/>
  <c r="I27"/>
  <c r="H27"/>
  <c r="G27"/>
  <c r="F27"/>
  <c r="E27"/>
  <c r="D27"/>
  <c r="C27"/>
  <c r="B27"/>
  <c r="I26"/>
  <c r="H26"/>
  <c r="G26"/>
  <c r="F26"/>
  <c r="E26"/>
  <c r="D26"/>
  <c r="C26"/>
  <c r="B26"/>
  <c r="I25"/>
  <c r="H25"/>
  <c r="G25"/>
  <c r="F25"/>
  <c r="E25"/>
  <c r="D25"/>
  <c r="C25"/>
  <c r="B25"/>
  <c r="I24"/>
  <c r="H24"/>
  <c r="G24"/>
  <c r="F24"/>
  <c r="E24"/>
  <c r="D24"/>
  <c r="C24"/>
  <c r="B24"/>
  <c r="I23"/>
  <c r="H23"/>
  <c r="G23"/>
  <c r="F23"/>
  <c r="E23"/>
  <c r="D23"/>
  <c r="C23"/>
  <c r="B23"/>
  <c r="I22"/>
  <c r="H22"/>
  <c r="G22"/>
  <c r="F22"/>
  <c r="E22"/>
  <c r="D22"/>
  <c r="C22"/>
  <c r="B22"/>
  <c r="I21"/>
  <c r="H21"/>
  <c r="G21"/>
  <c r="F21"/>
  <c r="E21"/>
  <c r="D21"/>
  <c r="C21"/>
  <c r="B21"/>
  <c r="I20"/>
  <c r="H20"/>
  <c r="G20"/>
  <c r="F20"/>
  <c r="E20"/>
  <c r="D20"/>
  <c r="C20"/>
  <c r="B20"/>
  <c r="I19"/>
  <c r="H19"/>
  <c r="G19"/>
  <c r="F19"/>
  <c r="E19"/>
  <c r="D19"/>
  <c r="C19"/>
  <c r="B19"/>
  <c r="I18"/>
  <c r="H18"/>
  <c r="G18"/>
  <c r="F18"/>
  <c r="E18"/>
  <c r="D18"/>
  <c r="C18"/>
  <c r="B18"/>
  <c r="I17"/>
  <c r="H17"/>
  <c r="G17"/>
  <c r="F17"/>
  <c r="E17"/>
  <c r="D17"/>
  <c r="C17"/>
  <c r="B17"/>
  <c r="I16"/>
  <c r="H16"/>
  <c r="G16"/>
  <c r="F16"/>
  <c r="E16"/>
  <c r="D16"/>
  <c r="C16"/>
  <c r="B16"/>
  <c r="I15"/>
  <c r="H15"/>
  <c r="G15"/>
  <c r="F15"/>
  <c r="E15"/>
  <c r="D15"/>
  <c r="C15"/>
  <c r="B15"/>
  <c r="I14"/>
  <c r="H14"/>
  <c r="G14"/>
  <c r="F14"/>
  <c r="E14"/>
  <c r="D14"/>
  <c r="C14"/>
  <c r="B14"/>
  <c r="I13"/>
  <c r="H13"/>
  <c r="G13"/>
  <c r="F13"/>
  <c r="E13"/>
  <c r="D13"/>
  <c r="C13"/>
  <c r="B13"/>
  <c r="I12"/>
  <c r="H12"/>
  <c r="G12"/>
  <c r="F12"/>
  <c r="E12"/>
  <c r="D12"/>
  <c r="C12"/>
  <c r="B12"/>
  <c r="I11"/>
  <c r="H11"/>
  <c r="G11"/>
  <c r="F11"/>
  <c r="E11"/>
  <c r="D11"/>
  <c r="C11"/>
  <c r="B11"/>
  <c r="I10"/>
  <c r="H10"/>
  <c r="G10"/>
  <c r="F10"/>
  <c r="E10"/>
  <c r="D10"/>
  <c r="C10"/>
  <c r="B10"/>
  <c r="I9"/>
  <c r="H9"/>
  <c r="G9"/>
  <c r="F9"/>
  <c r="E9"/>
  <c r="D9"/>
  <c r="C9"/>
  <c r="B9"/>
  <c r="I8"/>
  <c r="H8"/>
  <c r="G8"/>
  <c r="F8"/>
  <c r="E8"/>
  <c r="D8"/>
  <c r="C8"/>
  <c r="B8"/>
  <c r="I7"/>
  <c r="H7"/>
  <c r="G7"/>
  <c r="F7"/>
  <c r="E7"/>
  <c r="D7"/>
  <c r="C7"/>
  <c r="B7"/>
  <c r="I6"/>
  <c r="H6"/>
  <c r="G6"/>
  <c r="F6"/>
  <c r="E6"/>
  <c r="D6"/>
  <c r="C6"/>
  <c r="B6"/>
  <c r="I5"/>
  <c r="H5"/>
  <c r="G5"/>
  <c r="F5"/>
  <c r="E5"/>
  <c r="D5"/>
  <c r="C5"/>
  <c r="B5"/>
  <c r="I4"/>
  <c r="H4"/>
  <c r="G4"/>
  <c r="F4"/>
  <c r="E4"/>
  <c r="D4"/>
  <c r="C4"/>
  <c r="B4"/>
  <c r="I3"/>
  <c r="H3"/>
  <c r="G3"/>
  <c r="F3"/>
  <c r="E3"/>
  <c r="D3"/>
  <c r="C3"/>
  <c r="B3"/>
</calcChain>
</file>

<file path=xl/sharedStrings.xml><?xml version="1.0" encoding="utf-8"?>
<sst xmlns="http://schemas.openxmlformats.org/spreadsheetml/2006/main" count="339" uniqueCount="17">
  <si>
    <t>编号</t>
  </si>
  <si>
    <t>姓名</t>
  </si>
  <si>
    <t>性别</t>
  </si>
  <si>
    <t>民族</t>
  </si>
  <si>
    <t>学历学位</t>
  </si>
  <si>
    <t>是否师范类</t>
  </si>
  <si>
    <t>备注</t>
    <phoneticPr fontId="18" type="noConversion"/>
  </si>
  <si>
    <t>2018年玉州区公开招聘特岗教师进入面试人选名单</t>
    <phoneticPr fontId="18" type="noConversion"/>
  </si>
  <si>
    <t>小语A区</t>
    <phoneticPr fontId="18" type="noConversion"/>
  </si>
  <si>
    <t>小语B区</t>
    <phoneticPr fontId="18" type="noConversion"/>
  </si>
  <si>
    <t>小语C区</t>
    <phoneticPr fontId="18" type="noConversion"/>
  </si>
  <si>
    <t>小数A区</t>
    <phoneticPr fontId="18" type="noConversion"/>
  </si>
  <si>
    <t>小数B区</t>
    <phoneticPr fontId="18" type="noConversion"/>
  </si>
  <si>
    <t>小数C区</t>
    <phoneticPr fontId="18" type="noConversion"/>
  </si>
  <si>
    <t>毕业学校及专业</t>
    <phoneticPr fontId="18" type="noConversion"/>
  </si>
  <si>
    <t>学段</t>
    <phoneticPr fontId="18" type="noConversion"/>
  </si>
  <si>
    <t>科目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</si>
</sst>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644"/>
  <sheetViews>
    <sheetView tabSelected="1" topLeftCell="A99" zoomScaleNormal="100" workbookViewId="0">
      <selection activeCell="A207" sqref="A1:XFD1048576"/>
    </sheetView>
  </sheetViews>
  <sheetFormatPr defaultRowHeight="13.5"/>
  <cols>
    <col min="1" max="1" width="6.375" style="2" customWidth="1"/>
    <col min="2" max="2" width="7.875" style="2" customWidth="1"/>
    <col min="3" max="3" width="4.125" style="2" customWidth="1"/>
    <col min="4" max="4" width="5.25" style="2" customWidth="1"/>
    <col min="5" max="5" width="32.625" style="7" customWidth="1"/>
    <col min="6" max="6" width="8.75" style="7" customWidth="1"/>
    <col min="7" max="7" width="5.125" style="8" customWidth="1"/>
    <col min="8" max="8" width="5.25" style="8" customWidth="1"/>
    <col min="9" max="9" width="5.75" style="8" customWidth="1"/>
    <col min="10" max="10" width="7.375" style="2" customWidth="1"/>
    <col min="11" max="57" width="9" style="1"/>
    <col min="58" max="16384" width="9" style="2"/>
  </cols>
  <sheetData>
    <row r="1" spans="1:57" ht="39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</row>
    <row r="2" spans="1:57" s="4" customFormat="1" ht="26.1" customHeight="1">
      <c r="A2" s="3" t="s">
        <v>0</v>
      </c>
      <c r="B2" s="4" t="s">
        <v>1</v>
      </c>
      <c r="C2" s="4" t="s">
        <v>2</v>
      </c>
      <c r="D2" s="4" t="s">
        <v>3</v>
      </c>
      <c r="E2" s="5" t="s">
        <v>14</v>
      </c>
      <c r="F2" s="5" t="s">
        <v>4</v>
      </c>
      <c r="G2" s="6" t="s">
        <v>5</v>
      </c>
      <c r="H2" s="6" t="s">
        <v>15</v>
      </c>
      <c r="I2" s="6" t="s">
        <v>16</v>
      </c>
      <c r="J2" s="4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4" customFormat="1" ht="26.1" customHeight="1">
      <c r="A3" s="3">
        <v>1</v>
      </c>
      <c r="B3" s="4" t="str">
        <f>"陈秋"</f>
        <v>陈秋</v>
      </c>
      <c r="C3" s="4" t="str">
        <f t="shared" ref="C3:C23" si="0">"女        "</f>
        <v xml:space="preserve">女        </v>
      </c>
      <c r="D3" s="4" t="str">
        <f t="shared" ref="D3:D66" si="1">"汉族"</f>
        <v>汉族</v>
      </c>
      <c r="E3" s="5" t="str">
        <f>"钦州学院思想政治教育"</f>
        <v>钦州学院思想政治教育</v>
      </c>
      <c r="F3" s="5" t="str">
        <f t="shared" ref="F3:F61" si="2">"本科学士"</f>
        <v>本科学士</v>
      </c>
      <c r="G3" s="6" t="str">
        <f>"是"</f>
        <v>是</v>
      </c>
      <c r="H3" s="6" t="str">
        <f t="shared" ref="H3:H66" si="3">"初中"</f>
        <v>初中</v>
      </c>
      <c r="I3" s="6" t="str">
        <f t="shared" ref="I3:I16" si="4">"299:政治"</f>
        <v>299:政治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s="4" customFormat="1" ht="26.1" customHeight="1">
      <c r="A4" s="3">
        <v>2</v>
      </c>
      <c r="B4" s="4" t="str">
        <f>"柯怡"</f>
        <v>柯怡</v>
      </c>
      <c r="C4" s="4" t="str">
        <f t="shared" si="0"/>
        <v xml:space="preserve">女        </v>
      </c>
      <c r="D4" s="4" t="str">
        <f t="shared" si="1"/>
        <v>汉族</v>
      </c>
      <c r="E4" s="5" t="str">
        <f>"百色学院思想政治教育"</f>
        <v>百色学院思想政治教育</v>
      </c>
      <c r="F4" s="5" t="str">
        <f t="shared" si="2"/>
        <v>本科学士</v>
      </c>
      <c r="G4" s="6" t="str">
        <f>"是"</f>
        <v>是</v>
      </c>
      <c r="H4" s="6" t="str">
        <f t="shared" si="3"/>
        <v>初中</v>
      </c>
      <c r="I4" s="6" t="str">
        <f t="shared" si="4"/>
        <v>299:政治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s="4" customFormat="1" ht="26.1" customHeight="1">
      <c r="A5" s="3">
        <v>3</v>
      </c>
      <c r="B5" s="4" t="str">
        <f>"廖夏"</f>
        <v>廖夏</v>
      </c>
      <c r="C5" s="4" t="str">
        <f t="shared" si="0"/>
        <v xml:space="preserve">女        </v>
      </c>
      <c r="D5" s="4" t="str">
        <f t="shared" si="1"/>
        <v>汉族</v>
      </c>
      <c r="E5" s="5" t="str">
        <f>"广西师范学院公共事业管理"</f>
        <v>广西师范学院公共事业管理</v>
      </c>
      <c r="F5" s="5" t="str">
        <f t="shared" si="2"/>
        <v>本科学士</v>
      </c>
      <c r="G5" s="6" t="str">
        <f>"是"</f>
        <v>是</v>
      </c>
      <c r="H5" s="6" t="str">
        <f t="shared" si="3"/>
        <v>初中</v>
      </c>
      <c r="I5" s="6" t="str">
        <f t="shared" si="4"/>
        <v>299:政治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s="4" customFormat="1" ht="26.1" customHeight="1">
      <c r="A6" s="3">
        <v>4</v>
      </c>
      <c r="B6" s="4" t="str">
        <f>"吕春莹"</f>
        <v>吕春莹</v>
      </c>
      <c r="C6" s="4" t="str">
        <f t="shared" si="0"/>
        <v xml:space="preserve">女        </v>
      </c>
      <c r="D6" s="4" t="str">
        <f t="shared" si="1"/>
        <v>汉族</v>
      </c>
      <c r="E6" s="5" t="str">
        <f>"广西民族师范学院行政管理"</f>
        <v>广西民族师范学院行政管理</v>
      </c>
      <c r="F6" s="5" t="str">
        <f t="shared" si="2"/>
        <v>本科学士</v>
      </c>
      <c r="G6" s="6" t="str">
        <f>"不是"</f>
        <v>不是</v>
      </c>
      <c r="H6" s="6" t="str">
        <f t="shared" si="3"/>
        <v>初中</v>
      </c>
      <c r="I6" s="6" t="str">
        <f t="shared" si="4"/>
        <v>299:政治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s="4" customFormat="1" ht="26.1" customHeight="1">
      <c r="A7" s="3">
        <v>5</v>
      </c>
      <c r="B7" s="4" t="str">
        <f>"梁琼"</f>
        <v>梁琼</v>
      </c>
      <c r="C7" s="4" t="str">
        <f t="shared" si="0"/>
        <v xml:space="preserve">女        </v>
      </c>
      <c r="D7" s="4" t="str">
        <f t="shared" si="1"/>
        <v>汉族</v>
      </c>
      <c r="E7" s="5" t="str">
        <f>"百色学院思想政治教育"</f>
        <v>百色学院思想政治教育</v>
      </c>
      <c r="F7" s="5" t="str">
        <f t="shared" si="2"/>
        <v>本科学士</v>
      </c>
      <c r="G7" s="6" t="str">
        <f t="shared" ref="G7:G17" si="5">"是"</f>
        <v>是</v>
      </c>
      <c r="H7" s="6" t="str">
        <f t="shared" si="3"/>
        <v>初中</v>
      </c>
      <c r="I7" s="6" t="str">
        <f t="shared" si="4"/>
        <v>299:政治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s="4" customFormat="1" ht="26.1" customHeight="1">
      <c r="A8" s="3">
        <v>6</v>
      </c>
      <c r="B8" s="4" t="str">
        <f>"吕静"</f>
        <v>吕静</v>
      </c>
      <c r="C8" s="4" t="str">
        <f t="shared" si="0"/>
        <v xml:space="preserve">女        </v>
      </c>
      <c r="D8" s="4" t="str">
        <f t="shared" si="1"/>
        <v>汉族</v>
      </c>
      <c r="E8" s="5" t="str">
        <f>"河池学院思想政治教育"</f>
        <v>河池学院思想政治教育</v>
      </c>
      <c r="F8" s="5" t="str">
        <f t="shared" si="2"/>
        <v>本科学士</v>
      </c>
      <c r="G8" s="6" t="str">
        <f t="shared" si="5"/>
        <v>是</v>
      </c>
      <c r="H8" s="6" t="str">
        <f t="shared" si="3"/>
        <v>初中</v>
      </c>
      <c r="I8" s="6" t="str">
        <f t="shared" si="4"/>
        <v>299:政治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s="4" customFormat="1" ht="26.1" customHeight="1">
      <c r="A9" s="3">
        <v>7</v>
      </c>
      <c r="B9" s="4" t="str">
        <f>"陈雪丹"</f>
        <v>陈雪丹</v>
      </c>
      <c r="C9" s="4" t="str">
        <f t="shared" si="0"/>
        <v xml:space="preserve">女        </v>
      </c>
      <c r="D9" s="4" t="str">
        <f t="shared" si="1"/>
        <v>汉族</v>
      </c>
      <c r="E9" s="5" t="str">
        <f>"百色学院思想政治教育"</f>
        <v>百色学院思想政治教育</v>
      </c>
      <c r="F9" s="5" t="str">
        <f t="shared" si="2"/>
        <v>本科学士</v>
      </c>
      <c r="G9" s="6" t="str">
        <f t="shared" si="5"/>
        <v>是</v>
      </c>
      <c r="H9" s="6" t="str">
        <f t="shared" si="3"/>
        <v>初中</v>
      </c>
      <c r="I9" s="6" t="str">
        <f t="shared" si="4"/>
        <v>299:政治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s="4" customFormat="1" ht="26.1" customHeight="1">
      <c r="A10" s="3">
        <v>8</v>
      </c>
      <c r="B10" s="4" t="str">
        <f>"陈美冰"</f>
        <v>陈美冰</v>
      </c>
      <c r="C10" s="4" t="str">
        <f t="shared" si="0"/>
        <v xml:space="preserve">女        </v>
      </c>
      <c r="D10" s="4" t="str">
        <f t="shared" si="1"/>
        <v>汉族</v>
      </c>
      <c r="E10" s="5" t="str">
        <f>"钦州学院思想政治教育"</f>
        <v>钦州学院思想政治教育</v>
      </c>
      <c r="F10" s="5" t="str">
        <f t="shared" si="2"/>
        <v>本科学士</v>
      </c>
      <c r="G10" s="6" t="str">
        <f t="shared" si="5"/>
        <v>是</v>
      </c>
      <c r="H10" s="6" t="str">
        <f t="shared" si="3"/>
        <v>初中</v>
      </c>
      <c r="I10" s="6" t="str">
        <f t="shared" si="4"/>
        <v>299:政治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s="4" customFormat="1" ht="26.1" customHeight="1">
      <c r="A11" s="3">
        <v>9</v>
      </c>
      <c r="B11" s="4" t="str">
        <f>"吴丽燕"</f>
        <v>吴丽燕</v>
      </c>
      <c r="C11" s="4" t="str">
        <f t="shared" si="0"/>
        <v xml:space="preserve">女        </v>
      </c>
      <c r="D11" s="4" t="str">
        <f t="shared" si="1"/>
        <v>汉族</v>
      </c>
      <c r="E11" s="5" t="str">
        <f>"重庆市师范大学思想政治教育"</f>
        <v>重庆市师范大学思想政治教育</v>
      </c>
      <c r="F11" s="5" t="str">
        <f t="shared" si="2"/>
        <v>本科学士</v>
      </c>
      <c r="G11" s="6" t="str">
        <f t="shared" si="5"/>
        <v>是</v>
      </c>
      <c r="H11" s="6" t="str">
        <f t="shared" si="3"/>
        <v>初中</v>
      </c>
      <c r="I11" s="6" t="str">
        <f t="shared" si="4"/>
        <v>299:政治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s="4" customFormat="1" ht="26.1" customHeight="1">
      <c r="A12" s="3">
        <v>10</v>
      </c>
      <c r="B12" s="4" t="str">
        <f>"苏雪梅"</f>
        <v>苏雪梅</v>
      </c>
      <c r="C12" s="4" t="str">
        <f t="shared" si="0"/>
        <v xml:space="preserve">女        </v>
      </c>
      <c r="D12" s="4" t="str">
        <f t="shared" si="1"/>
        <v>汉族</v>
      </c>
      <c r="E12" s="5" t="str">
        <f>"玉林师范学院思想政治教育"</f>
        <v>玉林师范学院思想政治教育</v>
      </c>
      <c r="F12" s="5" t="str">
        <f t="shared" si="2"/>
        <v>本科学士</v>
      </c>
      <c r="G12" s="6" t="str">
        <f t="shared" si="5"/>
        <v>是</v>
      </c>
      <c r="H12" s="6" t="str">
        <f t="shared" si="3"/>
        <v>初中</v>
      </c>
      <c r="I12" s="6" t="str">
        <f t="shared" si="4"/>
        <v>299:政治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s="4" customFormat="1" ht="26.1" customHeight="1">
      <c r="A13" s="3">
        <v>11</v>
      </c>
      <c r="B13" s="4" t="str">
        <f>"邓超敏"</f>
        <v>邓超敏</v>
      </c>
      <c r="C13" s="4" t="str">
        <f t="shared" si="0"/>
        <v xml:space="preserve">女        </v>
      </c>
      <c r="D13" s="4" t="str">
        <f t="shared" si="1"/>
        <v>汉族</v>
      </c>
      <c r="E13" s="5" t="str">
        <f>"广西师范学院思想政治教育"</f>
        <v>广西师范学院思想政治教育</v>
      </c>
      <c r="F13" s="5" t="str">
        <f t="shared" si="2"/>
        <v>本科学士</v>
      </c>
      <c r="G13" s="6" t="str">
        <f t="shared" si="5"/>
        <v>是</v>
      </c>
      <c r="H13" s="6" t="str">
        <f t="shared" si="3"/>
        <v>初中</v>
      </c>
      <c r="I13" s="6" t="str">
        <f t="shared" si="4"/>
        <v>299:政治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s="4" customFormat="1" ht="26.1" customHeight="1">
      <c r="A14" s="3">
        <v>12</v>
      </c>
      <c r="B14" s="4" t="str">
        <f>"伍德婷"</f>
        <v>伍德婷</v>
      </c>
      <c r="C14" s="4" t="str">
        <f t="shared" si="0"/>
        <v xml:space="preserve">女        </v>
      </c>
      <c r="D14" s="4" t="str">
        <f t="shared" si="1"/>
        <v>汉族</v>
      </c>
      <c r="E14" s="5" t="str">
        <f>"广西师范学院思想政治教育"</f>
        <v>广西师范学院思想政治教育</v>
      </c>
      <c r="F14" s="5" t="str">
        <f t="shared" si="2"/>
        <v>本科学士</v>
      </c>
      <c r="G14" s="6" t="str">
        <f t="shared" si="5"/>
        <v>是</v>
      </c>
      <c r="H14" s="6" t="str">
        <f t="shared" si="3"/>
        <v>初中</v>
      </c>
      <c r="I14" s="6" t="str">
        <f t="shared" si="4"/>
        <v>299:政治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s="4" customFormat="1" ht="26.1" customHeight="1">
      <c r="A15" s="3">
        <v>13</v>
      </c>
      <c r="B15" s="4" t="str">
        <f>"吴金燕"</f>
        <v>吴金燕</v>
      </c>
      <c r="C15" s="4" t="str">
        <f t="shared" si="0"/>
        <v xml:space="preserve">女        </v>
      </c>
      <c r="D15" s="4" t="str">
        <f t="shared" si="1"/>
        <v>汉族</v>
      </c>
      <c r="E15" s="5" t="str">
        <f>"玉林师范学院思想政治教育"</f>
        <v>玉林师范学院思想政治教育</v>
      </c>
      <c r="F15" s="5" t="str">
        <f t="shared" si="2"/>
        <v>本科学士</v>
      </c>
      <c r="G15" s="6" t="str">
        <f t="shared" si="5"/>
        <v>是</v>
      </c>
      <c r="H15" s="6" t="str">
        <f t="shared" si="3"/>
        <v>初中</v>
      </c>
      <c r="I15" s="6" t="str">
        <f t="shared" si="4"/>
        <v>299:政治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s="4" customFormat="1" ht="26.1" customHeight="1">
      <c r="A16" s="3">
        <v>14</v>
      </c>
      <c r="B16" s="4" t="str">
        <f>"陈尚坤"</f>
        <v>陈尚坤</v>
      </c>
      <c r="C16" s="4" t="str">
        <f t="shared" si="0"/>
        <v xml:space="preserve">女        </v>
      </c>
      <c r="D16" s="4" t="str">
        <f t="shared" si="1"/>
        <v>汉族</v>
      </c>
      <c r="E16" s="5" t="str">
        <f>"玉林师范学院思想政治教育"</f>
        <v>玉林师范学院思想政治教育</v>
      </c>
      <c r="F16" s="5" t="str">
        <f t="shared" si="2"/>
        <v>本科学士</v>
      </c>
      <c r="G16" s="6" t="str">
        <f t="shared" si="5"/>
        <v>是</v>
      </c>
      <c r="H16" s="6" t="str">
        <f t="shared" si="3"/>
        <v>初中</v>
      </c>
      <c r="I16" s="6" t="str">
        <f t="shared" si="4"/>
        <v>299:政治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s="4" customFormat="1" ht="26.1" customHeight="1">
      <c r="A17" s="3">
        <v>15</v>
      </c>
      <c r="B17" s="4" t="str">
        <f>"周盟"</f>
        <v>周盟</v>
      </c>
      <c r="C17" s="4" t="str">
        <f t="shared" si="0"/>
        <v xml:space="preserve">女        </v>
      </c>
      <c r="D17" s="4" t="str">
        <f t="shared" si="1"/>
        <v>汉族</v>
      </c>
      <c r="E17" s="5" t="str">
        <f>"玉林师范学院汉语言文学"</f>
        <v>玉林师范学院汉语言文学</v>
      </c>
      <c r="F17" s="5" t="str">
        <f t="shared" si="2"/>
        <v>本科学士</v>
      </c>
      <c r="G17" s="6" t="str">
        <f t="shared" si="5"/>
        <v>是</v>
      </c>
      <c r="H17" s="6" t="str">
        <f t="shared" si="3"/>
        <v>初中</v>
      </c>
      <c r="I17" s="6" t="str">
        <f t="shared" ref="I17:I34" si="6">"202:语文"</f>
        <v>202:语文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s="4" customFormat="1" ht="26.1" customHeight="1">
      <c r="A18" s="3">
        <v>16</v>
      </c>
      <c r="B18" s="4" t="str">
        <f>"梁菲菲"</f>
        <v>梁菲菲</v>
      </c>
      <c r="C18" s="4" t="str">
        <f t="shared" si="0"/>
        <v xml:space="preserve">女        </v>
      </c>
      <c r="D18" s="4" t="str">
        <f t="shared" si="1"/>
        <v>汉族</v>
      </c>
      <c r="E18" s="5" t="str">
        <f>"梧州学院汉语言文学"</f>
        <v>梧州学院汉语言文学</v>
      </c>
      <c r="F18" s="5" t="str">
        <f t="shared" si="2"/>
        <v>本科学士</v>
      </c>
      <c r="G18" s="6" t="str">
        <f>"不是"</f>
        <v>不是</v>
      </c>
      <c r="H18" s="6" t="str">
        <f t="shared" si="3"/>
        <v>初中</v>
      </c>
      <c r="I18" s="6" t="str">
        <f t="shared" si="6"/>
        <v>202:语文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s="4" customFormat="1" ht="26.1" customHeight="1">
      <c r="A19" s="3">
        <v>17</v>
      </c>
      <c r="B19" s="4" t="str">
        <f>"李家连"</f>
        <v>李家连</v>
      </c>
      <c r="C19" s="4" t="str">
        <f t="shared" si="0"/>
        <v xml:space="preserve">女        </v>
      </c>
      <c r="D19" s="4" t="str">
        <f t="shared" si="1"/>
        <v>汉族</v>
      </c>
      <c r="E19" s="5" t="str">
        <f>"广西师范大学文秘教育"</f>
        <v>广西师范大学文秘教育</v>
      </c>
      <c r="F19" s="5" t="str">
        <f t="shared" si="2"/>
        <v>本科学士</v>
      </c>
      <c r="G19" s="6" t="str">
        <f>"是"</f>
        <v>是</v>
      </c>
      <c r="H19" s="6" t="str">
        <f t="shared" si="3"/>
        <v>初中</v>
      </c>
      <c r="I19" s="6" t="str">
        <f t="shared" si="6"/>
        <v>202:语文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s="4" customFormat="1" ht="26.1" customHeight="1">
      <c r="A20" s="3">
        <v>18</v>
      </c>
      <c r="B20" s="4" t="str">
        <f>"杨庆玲"</f>
        <v>杨庆玲</v>
      </c>
      <c r="C20" s="4" t="str">
        <f t="shared" si="0"/>
        <v xml:space="preserve">女        </v>
      </c>
      <c r="D20" s="4" t="str">
        <f t="shared" si="1"/>
        <v>汉族</v>
      </c>
      <c r="E20" s="5" t="str">
        <f>"玉林师范学院汉语言文学"</f>
        <v>玉林师范学院汉语言文学</v>
      </c>
      <c r="F20" s="5" t="str">
        <f t="shared" si="2"/>
        <v>本科学士</v>
      </c>
      <c r="G20" s="6" t="str">
        <f>"是"</f>
        <v>是</v>
      </c>
      <c r="H20" s="6" t="str">
        <f t="shared" si="3"/>
        <v>初中</v>
      </c>
      <c r="I20" s="6" t="str">
        <f t="shared" si="6"/>
        <v>202:语文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s="4" customFormat="1" ht="26.1" customHeight="1">
      <c r="A21" s="3">
        <v>19</v>
      </c>
      <c r="B21" s="4" t="str">
        <f>"谢丽君"</f>
        <v>谢丽君</v>
      </c>
      <c r="C21" s="4" t="str">
        <f t="shared" si="0"/>
        <v xml:space="preserve">女        </v>
      </c>
      <c r="D21" s="4" t="str">
        <f t="shared" si="1"/>
        <v>汉族</v>
      </c>
      <c r="E21" s="5" t="str">
        <f>"梧州学院汉语言文学"</f>
        <v>梧州学院汉语言文学</v>
      </c>
      <c r="F21" s="5" t="str">
        <f t="shared" si="2"/>
        <v>本科学士</v>
      </c>
      <c r="G21" s="6" t="str">
        <f>"不是"</f>
        <v>不是</v>
      </c>
      <c r="H21" s="6" t="str">
        <f t="shared" si="3"/>
        <v>初中</v>
      </c>
      <c r="I21" s="6" t="str">
        <f t="shared" si="6"/>
        <v>202:语文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s="4" customFormat="1" ht="26.1" customHeight="1">
      <c r="A22" s="3">
        <v>20</v>
      </c>
      <c r="B22" s="4" t="str">
        <f>"唐翠梅"</f>
        <v>唐翠梅</v>
      </c>
      <c r="C22" s="4" t="str">
        <f t="shared" si="0"/>
        <v xml:space="preserve">女        </v>
      </c>
      <c r="D22" s="4" t="str">
        <f t="shared" si="1"/>
        <v>汉族</v>
      </c>
      <c r="E22" s="5" t="str">
        <f>"广西民族大学相思湖学院汉语言文学"</f>
        <v>广西民族大学相思湖学院汉语言文学</v>
      </c>
      <c r="F22" s="5" t="str">
        <f t="shared" si="2"/>
        <v>本科学士</v>
      </c>
      <c r="G22" s="6" t="str">
        <f>"不是"</f>
        <v>不是</v>
      </c>
      <c r="H22" s="6" t="str">
        <f t="shared" si="3"/>
        <v>初中</v>
      </c>
      <c r="I22" s="6" t="str">
        <f t="shared" si="6"/>
        <v>202:语文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s="4" customFormat="1" ht="26.1" customHeight="1">
      <c r="A23" s="3">
        <v>21</v>
      </c>
      <c r="B23" s="4" t="str">
        <f>"谢金凤"</f>
        <v>谢金凤</v>
      </c>
      <c r="C23" s="4" t="str">
        <f t="shared" si="0"/>
        <v xml:space="preserve">女        </v>
      </c>
      <c r="D23" s="4" t="str">
        <f t="shared" si="1"/>
        <v>汉族</v>
      </c>
      <c r="E23" s="5" t="str">
        <f>"广西民族师范学院汉语言文学"</f>
        <v>广西民族师范学院汉语言文学</v>
      </c>
      <c r="F23" s="5" t="str">
        <f t="shared" si="2"/>
        <v>本科学士</v>
      </c>
      <c r="G23" s="6" t="str">
        <f>"不是"</f>
        <v>不是</v>
      </c>
      <c r="H23" s="6" t="str">
        <f t="shared" si="3"/>
        <v>初中</v>
      </c>
      <c r="I23" s="6" t="str">
        <f t="shared" si="6"/>
        <v>202:语文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s="4" customFormat="1" ht="26.1" customHeight="1">
      <c r="A24" s="3">
        <v>22</v>
      </c>
      <c r="B24" s="4" t="str">
        <f>"冯远龙"</f>
        <v>冯远龙</v>
      </c>
      <c r="C24" s="4" t="str">
        <f>"男        "</f>
        <v xml:space="preserve">男        </v>
      </c>
      <c r="D24" s="4" t="str">
        <f t="shared" si="1"/>
        <v>汉族</v>
      </c>
      <c r="E24" s="5" t="str">
        <f>"玉林师范学院汉语言文学"</f>
        <v>玉林师范学院汉语言文学</v>
      </c>
      <c r="F24" s="5" t="str">
        <f t="shared" si="2"/>
        <v>本科学士</v>
      </c>
      <c r="G24" s="6" t="str">
        <f>"是"</f>
        <v>是</v>
      </c>
      <c r="H24" s="6" t="str">
        <f t="shared" si="3"/>
        <v>初中</v>
      </c>
      <c r="I24" s="6" t="str">
        <f t="shared" si="6"/>
        <v>202:语文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s="4" customFormat="1" ht="26.1" customHeight="1">
      <c r="A25" s="3">
        <v>23</v>
      </c>
      <c r="B25" s="4" t="str">
        <f>"李晓婷"</f>
        <v>李晓婷</v>
      </c>
      <c r="C25" s="4" t="str">
        <f t="shared" ref="C25:C48" si="7">"女        "</f>
        <v xml:space="preserve">女        </v>
      </c>
      <c r="D25" s="4" t="str">
        <f t="shared" si="1"/>
        <v>汉族</v>
      </c>
      <c r="E25" s="5" t="str">
        <f>"玉林师范学院汉语言文学"</f>
        <v>玉林师范学院汉语言文学</v>
      </c>
      <c r="F25" s="5" t="str">
        <f t="shared" si="2"/>
        <v>本科学士</v>
      </c>
      <c r="G25" s="6" t="str">
        <f>"是"</f>
        <v>是</v>
      </c>
      <c r="H25" s="6" t="str">
        <f t="shared" si="3"/>
        <v>初中</v>
      </c>
      <c r="I25" s="6" t="str">
        <f t="shared" si="6"/>
        <v>202:语文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s="4" customFormat="1" ht="26.1" customHeight="1">
      <c r="A26" s="3">
        <v>24</v>
      </c>
      <c r="B26" s="4" t="str">
        <f>"汤丽春"</f>
        <v>汤丽春</v>
      </c>
      <c r="C26" s="4" t="str">
        <f t="shared" si="7"/>
        <v xml:space="preserve">女        </v>
      </c>
      <c r="D26" s="4" t="str">
        <f t="shared" si="1"/>
        <v>汉族</v>
      </c>
      <c r="E26" s="5" t="str">
        <f>"梧州学院汉语言文学"</f>
        <v>梧州学院汉语言文学</v>
      </c>
      <c r="F26" s="5" t="str">
        <f t="shared" si="2"/>
        <v>本科学士</v>
      </c>
      <c r="G26" s="6" t="str">
        <f>"不是"</f>
        <v>不是</v>
      </c>
      <c r="H26" s="6" t="str">
        <f t="shared" si="3"/>
        <v>初中</v>
      </c>
      <c r="I26" s="6" t="str">
        <f t="shared" si="6"/>
        <v>202:语文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s="4" customFormat="1" ht="26.1" customHeight="1">
      <c r="A27" s="3">
        <v>25</v>
      </c>
      <c r="B27" s="4" t="str">
        <f>"庞敬珊"</f>
        <v>庞敬珊</v>
      </c>
      <c r="C27" s="4" t="str">
        <f t="shared" si="7"/>
        <v xml:space="preserve">女        </v>
      </c>
      <c r="D27" s="4" t="str">
        <f t="shared" si="1"/>
        <v>汉族</v>
      </c>
      <c r="E27" s="5" t="str">
        <f>"百色学院汉语言文学"</f>
        <v>百色学院汉语言文学</v>
      </c>
      <c r="F27" s="5" t="str">
        <f t="shared" si="2"/>
        <v>本科学士</v>
      </c>
      <c r="G27" s="6" t="str">
        <f t="shared" ref="G27:G39" si="8">"是"</f>
        <v>是</v>
      </c>
      <c r="H27" s="6" t="str">
        <f t="shared" si="3"/>
        <v>初中</v>
      </c>
      <c r="I27" s="6" t="str">
        <f t="shared" si="6"/>
        <v>202:语文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s="4" customFormat="1" ht="26.1" customHeight="1">
      <c r="A28" s="3">
        <v>26</v>
      </c>
      <c r="B28" s="4" t="str">
        <f>"林铭璐"</f>
        <v>林铭璐</v>
      </c>
      <c r="C28" s="4" t="str">
        <f t="shared" si="7"/>
        <v xml:space="preserve">女        </v>
      </c>
      <c r="D28" s="4" t="str">
        <f t="shared" si="1"/>
        <v>汉族</v>
      </c>
      <c r="E28" s="5" t="str">
        <f>"吉林师范大学博达学院汉语言文学"</f>
        <v>吉林师范大学博达学院汉语言文学</v>
      </c>
      <c r="F28" s="5" t="str">
        <f t="shared" si="2"/>
        <v>本科学士</v>
      </c>
      <c r="G28" s="6" t="str">
        <f t="shared" si="8"/>
        <v>是</v>
      </c>
      <c r="H28" s="6" t="str">
        <f t="shared" si="3"/>
        <v>初中</v>
      </c>
      <c r="I28" s="6" t="str">
        <f t="shared" si="6"/>
        <v>202:语文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s="4" customFormat="1" ht="26.1" customHeight="1">
      <c r="A29" s="3">
        <v>27</v>
      </c>
      <c r="B29" s="4" t="str">
        <f>"陈扬"</f>
        <v>陈扬</v>
      </c>
      <c r="C29" s="4" t="str">
        <f t="shared" si="7"/>
        <v xml:space="preserve">女        </v>
      </c>
      <c r="D29" s="4" t="str">
        <f t="shared" si="1"/>
        <v>汉族</v>
      </c>
      <c r="E29" s="5" t="str">
        <f>"广西民族师范学院汉语言文学"</f>
        <v>广西民族师范学院汉语言文学</v>
      </c>
      <c r="F29" s="5" t="str">
        <f t="shared" si="2"/>
        <v>本科学士</v>
      </c>
      <c r="G29" s="6" t="str">
        <f t="shared" si="8"/>
        <v>是</v>
      </c>
      <c r="H29" s="6" t="str">
        <f t="shared" si="3"/>
        <v>初中</v>
      </c>
      <c r="I29" s="6" t="str">
        <f t="shared" si="6"/>
        <v>202:语文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s="4" customFormat="1" ht="26.1" customHeight="1">
      <c r="A30" s="3">
        <v>28</v>
      </c>
      <c r="B30" s="4" t="str">
        <f>"陈思彤"</f>
        <v>陈思彤</v>
      </c>
      <c r="C30" s="4" t="str">
        <f t="shared" si="7"/>
        <v xml:space="preserve">女        </v>
      </c>
      <c r="D30" s="4" t="str">
        <f t="shared" si="1"/>
        <v>汉族</v>
      </c>
      <c r="E30" s="5" t="str">
        <f>"广西师范大学漓江学院汉语言文学"</f>
        <v>广西师范大学漓江学院汉语言文学</v>
      </c>
      <c r="F30" s="5" t="str">
        <f t="shared" si="2"/>
        <v>本科学士</v>
      </c>
      <c r="G30" s="6" t="str">
        <f t="shared" si="8"/>
        <v>是</v>
      </c>
      <c r="H30" s="6" t="str">
        <f t="shared" si="3"/>
        <v>初中</v>
      </c>
      <c r="I30" s="6" t="str">
        <f t="shared" si="6"/>
        <v>202:语文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s="4" customFormat="1" ht="26.1" customHeight="1">
      <c r="A31" s="3">
        <v>29</v>
      </c>
      <c r="B31" s="4" t="str">
        <f>"姚诗芸"</f>
        <v>姚诗芸</v>
      </c>
      <c r="C31" s="4" t="str">
        <f t="shared" si="7"/>
        <v xml:space="preserve">女        </v>
      </c>
      <c r="D31" s="4" t="str">
        <f t="shared" si="1"/>
        <v>汉族</v>
      </c>
      <c r="E31" s="5" t="str">
        <f>"广西民族师范学院汉语言文学"</f>
        <v>广西民族师范学院汉语言文学</v>
      </c>
      <c r="F31" s="5" t="str">
        <f t="shared" si="2"/>
        <v>本科学士</v>
      </c>
      <c r="G31" s="6" t="str">
        <f t="shared" si="8"/>
        <v>是</v>
      </c>
      <c r="H31" s="6" t="str">
        <f t="shared" si="3"/>
        <v>初中</v>
      </c>
      <c r="I31" s="6" t="str">
        <f t="shared" si="6"/>
        <v>202:语文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s="4" customFormat="1" ht="26.1" customHeight="1">
      <c r="A32" s="3">
        <v>30</v>
      </c>
      <c r="B32" s="4" t="str">
        <f>"陈燕秋"</f>
        <v>陈燕秋</v>
      </c>
      <c r="C32" s="4" t="str">
        <f t="shared" si="7"/>
        <v xml:space="preserve">女        </v>
      </c>
      <c r="D32" s="4" t="str">
        <f t="shared" si="1"/>
        <v>汉族</v>
      </c>
      <c r="E32" s="5" t="str">
        <f>"玉林师范学院汉语言文学"</f>
        <v>玉林师范学院汉语言文学</v>
      </c>
      <c r="F32" s="5" t="str">
        <f t="shared" si="2"/>
        <v>本科学士</v>
      </c>
      <c r="G32" s="6" t="str">
        <f t="shared" si="8"/>
        <v>是</v>
      </c>
      <c r="H32" s="6" t="str">
        <f t="shared" si="3"/>
        <v>初中</v>
      </c>
      <c r="I32" s="6" t="str">
        <f t="shared" si="6"/>
        <v>202:语文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s="4" customFormat="1" ht="26.1" customHeight="1">
      <c r="A33" s="3">
        <v>31</v>
      </c>
      <c r="B33" s="4" t="str">
        <f>"廖凤森"</f>
        <v>廖凤森</v>
      </c>
      <c r="C33" s="4" t="str">
        <f t="shared" si="7"/>
        <v xml:space="preserve">女        </v>
      </c>
      <c r="D33" s="4" t="str">
        <f t="shared" si="1"/>
        <v>汉族</v>
      </c>
      <c r="E33" s="5" t="str">
        <f>"广西民族大学汉语言文学"</f>
        <v>广西民族大学汉语言文学</v>
      </c>
      <c r="F33" s="5" t="str">
        <f t="shared" si="2"/>
        <v>本科学士</v>
      </c>
      <c r="G33" s="6" t="str">
        <f t="shared" si="8"/>
        <v>是</v>
      </c>
      <c r="H33" s="6" t="str">
        <f t="shared" si="3"/>
        <v>初中</v>
      </c>
      <c r="I33" s="6" t="str">
        <f t="shared" si="6"/>
        <v>202:语文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s="4" customFormat="1" ht="26.1" customHeight="1">
      <c r="A34" s="3">
        <v>32</v>
      </c>
      <c r="B34" s="4" t="str">
        <f>"李洁"</f>
        <v>李洁</v>
      </c>
      <c r="C34" s="4" t="str">
        <f t="shared" si="7"/>
        <v xml:space="preserve">女        </v>
      </c>
      <c r="D34" s="4" t="str">
        <f t="shared" si="1"/>
        <v>汉族</v>
      </c>
      <c r="E34" s="5" t="str">
        <f>"广西师范学院师园学院汉语言文学"</f>
        <v>广西师范学院师园学院汉语言文学</v>
      </c>
      <c r="F34" s="5" t="str">
        <f t="shared" si="2"/>
        <v>本科学士</v>
      </c>
      <c r="G34" s="6" t="str">
        <f t="shared" si="8"/>
        <v>是</v>
      </c>
      <c r="H34" s="6" t="str">
        <f t="shared" si="3"/>
        <v>初中</v>
      </c>
      <c r="I34" s="6" t="str">
        <f t="shared" si="6"/>
        <v>202:语文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s="4" customFormat="1" ht="26.1" customHeight="1">
      <c r="A35" s="3">
        <v>33</v>
      </c>
      <c r="B35" s="4" t="str">
        <f>"马超献"</f>
        <v>马超献</v>
      </c>
      <c r="C35" s="4" t="str">
        <f t="shared" si="7"/>
        <v xml:space="preserve">女        </v>
      </c>
      <c r="D35" s="4" t="str">
        <f t="shared" si="1"/>
        <v>汉族</v>
      </c>
      <c r="E35" s="5" t="str">
        <f>"玉林师范学院汉语言文学"</f>
        <v>玉林师范学院汉语言文学</v>
      </c>
      <c r="F35" s="5" t="str">
        <f t="shared" si="2"/>
        <v>本科学士</v>
      </c>
      <c r="G35" s="6" t="str">
        <f t="shared" si="8"/>
        <v>是</v>
      </c>
      <c r="H35" s="6" t="str">
        <f t="shared" si="3"/>
        <v>初中</v>
      </c>
      <c r="I35" s="6" t="str">
        <f>"102:语文"</f>
        <v>102:语文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s="4" customFormat="1" ht="26.1" customHeight="1">
      <c r="A36" s="3">
        <v>34</v>
      </c>
      <c r="B36" s="4" t="str">
        <f>"黄梅燕"</f>
        <v>黄梅燕</v>
      </c>
      <c r="C36" s="4" t="str">
        <f t="shared" si="7"/>
        <v xml:space="preserve">女        </v>
      </c>
      <c r="D36" s="4" t="str">
        <f t="shared" si="1"/>
        <v>汉族</v>
      </c>
      <c r="E36" s="5" t="str">
        <f>"玉林师范学院数学与应用数学"</f>
        <v>玉林师范学院数学与应用数学</v>
      </c>
      <c r="F36" s="5" t="str">
        <f t="shared" si="2"/>
        <v>本科学士</v>
      </c>
      <c r="G36" s="6" t="str">
        <f t="shared" si="8"/>
        <v>是</v>
      </c>
      <c r="H36" s="6" t="str">
        <f t="shared" si="3"/>
        <v>初中</v>
      </c>
      <c r="I36" s="6" t="str">
        <f t="shared" ref="I36:I50" si="9">"203:数学"</f>
        <v>203:数学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s="4" customFormat="1" ht="26.1" customHeight="1">
      <c r="A37" s="3">
        <v>35</v>
      </c>
      <c r="B37" s="4" t="str">
        <f>"罗惠"</f>
        <v>罗惠</v>
      </c>
      <c r="C37" s="4" t="str">
        <f t="shared" si="7"/>
        <v xml:space="preserve">女        </v>
      </c>
      <c r="D37" s="4" t="str">
        <f t="shared" si="1"/>
        <v>汉族</v>
      </c>
      <c r="E37" s="5" t="str">
        <f>"玉林师范学院数学与应用数学"</f>
        <v>玉林师范学院数学与应用数学</v>
      </c>
      <c r="F37" s="5" t="str">
        <f t="shared" si="2"/>
        <v>本科学士</v>
      </c>
      <c r="G37" s="6" t="str">
        <f t="shared" si="8"/>
        <v>是</v>
      </c>
      <c r="H37" s="6" t="str">
        <f t="shared" si="3"/>
        <v>初中</v>
      </c>
      <c r="I37" s="6" t="str">
        <f t="shared" si="9"/>
        <v>203:数学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s="4" customFormat="1" ht="26.1" customHeight="1">
      <c r="A38" s="3">
        <v>36</v>
      </c>
      <c r="B38" s="4" t="str">
        <f>"吕玉梅"</f>
        <v>吕玉梅</v>
      </c>
      <c r="C38" s="4" t="str">
        <f t="shared" si="7"/>
        <v xml:space="preserve">女        </v>
      </c>
      <c r="D38" s="4" t="str">
        <f t="shared" si="1"/>
        <v>汉族</v>
      </c>
      <c r="E38" s="5" t="str">
        <f>"百色学院数学与应用数学"</f>
        <v>百色学院数学与应用数学</v>
      </c>
      <c r="F38" s="5" t="str">
        <f t="shared" si="2"/>
        <v>本科学士</v>
      </c>
      <c r="G38" s="6" t="str">
        <f t="shared" si="8"/>
        <v>是</v>
      </c>
      <c r="H38" s="6" t="str">
        <f t="shared" si="3"/>
        <v>初中</v>
      </c>
      <c r="I38" s="6" t="str">
        <f t="shared" si="9"/>
        <v>203:数学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s="4" customFormat="1" ht="26.1" customHeight="1">
      <c r="A39" s="3">
        <v>37</v>
      </c>
      <c r="B39" s="4" t="str">
        <f>"李楚梅"</f>
        <v>李楚梅</v>
      </c>
      <c r="C39" s="4" t="str">
        <f t="shared" si="7"/>
        <v xml:space="preserve">女        </v>
      </c>
      <c r="D39" s="4" t="str">
        <f t="shared" si="1"/>
        <v>汉族</v>
      </c>
      <c r="E39" s="5" t="str">
        <f>"贺州学院数学与应用数学"</f>
        <v>贺州学院数学与应用数学</v>
      </c>
      <c r="F39" s="5" t="str">
        <f t="shared" si="2"/>
        <v>本科学士</v>
      </c>
      <c r="G39" s="6" t="str">
        <f t="shared" si="8"/>
        <v>是</v>
      </c>
      <c r="H39" s="6" t="str">
        <f t="shared" si="3"/>
        <v>初中</v>
      </c>
      <c r="I39" s="6" t="str">
        <f t="shared" si="9"/>
        <v>203:数学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s="4" customFormat="1" ht="26.1" customHeight="1">
      <c r="A40" s="3">
        <v>38</v>
      </c>
      <c r="B40" s="4" t="str">
        <f>"牟学云"</f>
        <v>牟学云</v>
      </c>
      <c r="C40" s="4" t="str">
        <f t="shared" si="7"/>
        <v xml:space="preserve">女        </v>
      </c>
      <c r="D40" s="4" t="str">
        <f t="shared" si="1"/>
        <v>汉族</v>
      </c>
      <c r="E40" s="5" t="str">
        <f>"百色学院数学与应用数学"</f>
        <v>百色学院数学与应用数学</v>
      </c>
      <c r="F40" s="5" t="str">
        <f t="shared" si="2"/>
        <v>本科学士</v>
      </c>
      <c r="G40" s="6" t="str">
        <f>"不是"</f>
        <v>不是</v>
      </c>
      <c r="H40" s="6" t="str">
        <f t="shared" si="3"/>
        <v>初中</v>
      </c>
      <c r="I40" s="6" t="str">
        <f t="shared" si="9"/>
        <v>203:数学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s="4" customFormat="1" ht="26.1" customHeight="1">
      <c r="A41" s="3">
        <v>39</v>
      </c>
      <c r="B41" s="4" t="str">
        <f>"黄海莉"</f>
        <v>黄海莉</v>
      </c>
      <c r="C41" s="4" t="str">
        <f t="shared" si="7"/>
        <v xml:space="preserve">女        </v>
      </c>
      <c r="D41" s="4" t="str">
        <f t="shared" si="1"/>
        <v>汉族</v>
      </c>
      <c r="E41" s="5" t="str">
        <f>"忻州师范学院数学与应用数学"</f>
        <v>忻州师范学院数学与应用数学</v>
      </c>
      <c r="F41" s="5" t="str">
        <f t="shared" si="2"/>
        <v>本科学士</v>
      </c>
      <c r="G41" s="6" t="str">
        <f>"是"</f>
        <v>是</v>
      </c>
      <c r="H41" s="6" t="str">
        <f t="shared" si="3"/>
        <v>初中</v>
      </c>
      <c r="I41" s="6" t="str">
        <f t="shared" si="9"/>
        <v>203:数学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s="4" customFormat="1" ht="26.1" customHeight="1">
      <c r="A42" s="3">
        <v>40</v>
      </c>
      <c r="B42" s="4" t="str">
        <f>"姚丽"</f>
        <v>姚丽</v>
      </c>
      <c r="C42" s="4" t="str">
        <f t="shared" si="7"/>
        <v xml:space="preserve">女        </v>
      </c>
      <c r="D42" s="4" t="str">
        <f t="shared" si="1"/>
        <v>汉族</v>
      </c>
      <c r="E42" s="5" t="str">
        <f>"广西大学数学与应用数学"</f>
        <v>广西大学数学与应用数学</v>
      </c>
      <c r="F42" s="5" t="str">
        <f t="shared" si="2"/>
        <v>本科学士</v>
      </c>
      <c r="G42" s="6" t="str">
        <f>"不是"</f>
        <v>不是</v>
      </c>
      <c r="H42" s="6" t="str">
        <f t="shared" si="3"/>
        <v>初中</v>
      </c>
      <c r="I42" s="6" t="str">
        <f t="shared" si="9"/>
        <v>203:数学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s="4" customFormat="1" ht="26.1" customHeight="1">
      <c r="A43" s="3">
        <v>41</v>
      </c>
      <c r="B43" s="4" t="str">
        <f>"林怡然"</f>
        <v>林怡然</v>
      </c>
      <c r="C43" s="4" t="str">
        <f t="shared" si="7"/>
        <v xml:space="preserve">女        </v>
      </c>
      <c r="D43" s="4" t="str">
        <f t="shared" si="1"/>
        <v>汉族</v>
      </c>
      <c r="E43" s="5" t="str">
        <f>"广西师范大学数学与应用数学"</f>
        <v>广西师范大学数学与应用数学</v>
      </c>
      <c r="F43" s="5" t="str">
        <f t="shared" si="2"/>
        <v>本科学士</v>
      </c>
      <c r="G43" s="6" t="str">
        <f>"是"</f>
        <v>是</v>
      </c>
      <c r="H43" s="6" t="str">
        <f t="shared" si="3"/>
        <v>初中</v>
      </c>
      <c r="I43" s="6" t="str">
        <f t="shared" si="9"/>
        <v>203:数学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s="4" customFormat="1" ht="26.1" customHeight="1">
      <c r="A44" s="3">
        <v>42</v>
      </c>
      <c r="B44" s="4" t="str">
        <f>"罗惠元"</f>
        <v>罗惠元</v>
      </c>
      <c r="C44" s="4" t="str">
        <f t="shared" si="7"/>
        <v xml:space="preserve">女        </v>
      </c>
      <c r="D44" s="4" t="str">
        <f t="shared" si="1"/>
        <v>汉族</v>
      </c>
      <c r="E44" s="5" t="str">
        <f>"贺州学院数学与应用数学"</f>
        <v>贺州学院数学与应用数学</v>
      </c>
      <c r="F44" s="5" t="str">
        <f t="shared" si="2"/>
        <v>本科学士</v>
      </c>
      <c r="G44" s="6" t="str">
        <f>"是"</f>
        <v>是</v>
      </c>
      <c r="H44" s="6" t="str">
        <f t="shared" si="3"/>
        <v>初中</v>
      </c>
      <c r="I44" s="6" t="str">
        <f t="shared" si="9"/>
        <v>203:数学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s="4" customFormat="1" ht="26.1" customHeight="1">
      <c r="A45" s="3">
        <v>43</v>
      </c>
      <c r="B45" s="4" t="str">
        <f>"陈愈程"</f>
        <v>陈愈程</v>
      </c>
      <c r="C45" s="4" t="str">
        <f t="shared" si="7"/>
        <v xml:space="preserve">女        </v>
      </c>
      <c r="D45" s="4" t="str">
        <f t="shared" si="1"/>
        <v>汉族</v>
      </c>
      <c r="E45" s="5" t="str">
        <f>"桂林电子科技大学数学与应用数学"</f>
        <v>桂林电子科技大学数学与应用数学</v>
      </c>
      <c r="F45" s="5" t="str">
        <f t="shared" si="2"/>
        <v>本科学士</v>
      </c>
      <c r="G45" s="6" t="str">
        <f>"不是"</f>
        <v>不是</v>
      </c>
      <c r="H45" s="6" t="str">
        <f t="shared" si="3"/>
        <v>初中</v>
      </c>
      <c r="I45" s="6" t="str">
        <f t="shared" si="9"/>
        <v>203:数学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s="4" customFormat="1" ht="26.1" customHeight="1">
      <c r="A46" s="3">
        <v>44</v>
      </c>
      <c r="B46" s="4" t="str">
        <f>"黄洪露"</f>
        <v>黄洪露</v>
      </c>
      <c r="C46" s="4" t="str">
        <f t="shared" si="7"/>
        <v xml:space="preserve">女        </v>
      </c>
      <c r="D46" s="4" t="str">
        <f t="shared" si="1"/>
        <v>汉族</v>
      </c>
      <c r="E46" s="5" t="str">
        <f>"贺州学院数学与应用数学"</f>
        <v>贺州学院数学与应用数学</v>
      </c>
      <c r="F46" s="5" t="str">
        <f t="shared" si="2"/>
        <v>本科学士</v>
      </c>
      <c r="G46" s="6" t="str">
        <f t="shared" ref="G46:G53" si="10">"是"</f>
        <v>是</v>
      </c>
      <c r="H46" s="6" t="str">
        <f t="shared" si="3"/>
        <v>初中</v>
      </c>
      <c r="I46" s="6" t="str">
        <f t="shared" si="9"/>
        <v>203:数学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s="4" customFormat="1" ht="26.1" customHeight="1">
      <c r="A47" s="3">
        <v>45</v>
      </c>
      <c r="B47" s="4" t="str">
        <f>"黄彤彤"</f>
        <v>黄彤彤</v>
      </c>
      <c r="C47" s="4" t="str">
        <f t="shared" si="7"/>
        <v xml:space="preserve">女        </v>
      </c>
      <c r="D47" s="4" t="str">
        <f t="shared" si="1"/>
        <v>汉族</v>
      </c>
      <c r="E47" s="5" t="str">
        <f>"玉林师范学院数学与应用数学"</f>
        <v>玉林师范学院数学与应用数学</v>
      </c>
      <c r="F47" s="5" t="str">
        <f t="shared" si="2"/>
        <v>本科学士</v>
      </c>
      <c r="G47" s="6" t="str">
        <f t="shared" si="10"/>
        <v>是</v>
      </c>
      <c r="H47" s="6" t="str">
        <f t="shared" si="3"/>
        <v>初中</v>
      </c>
      <c r="I47" s="6" t="str">
        <f t="shared" si="9"/>
        <v>203:数学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s="4" customFormat="1" ht="26.1" customHeight="1">
      <c r="A48" s="3">
        <v>46</v>
      </c>
      <c r="B48" s="4" t="str">
        <f>"聂炳柳"</f>
        <v>聂炳柳</v>
      </c>
      <c r="C48" s="4" t="str">
        <f t="shared" si="7"/>
        <v xml:space="preserve">女        </v>
      </c>
      <c r="D48" s="4" t="str">
        <f t="shared" si="1"/>
        <v>汉族</v>
      </c>
      <c r="E48" s="5" t="str">
        <f>"玉林师范学院数学与应用数学"</f>
        <v>玉林师范学院数学与应用数学</v>
      </c>
      <c r="F48" s="5" t="str">
        <f t="shared" si="2"/>
        <v>本科学士</v>
      </c>
      <c r="G48" s="6" t="str">
        <f t="shared" si="10"/>
        <v>是</v>
      </c>
      <c r="H48" s="6" t="str">
        <f t="shared" si="3"/>
        <v>初中</v>
      </c>
      <c r="I48" s="6" t="str">
        <f t="shared" si="9"/>
        <v>203:数学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s="4" customFormat="1" ht="26.1" customHeight="1">
      <c r="A49" s="3">
        <v>47</v>
      </c>
      <c r="B49" s="4" t="str">
        <f>"吕锋"</f>
        <v>吕锋</v>
      </c>
      <c r="C49" s="4" t="str">
        <f>"男        "</f>
        <v xml:space="preserve">男        </v>
      </c>
      <c r="D49" s="4" t="str">
        <f t="shared" si="1"/>
        <v>汉族</v>
      </c>
      <c r="E49" s="5" t="str">
        <f>"玉林师范学院数学与应用数学"</f>
        <v>玉林师范学院数学与应用数学</v>
      </c>
      <c r="F49" s="5" t="str">
        <f t="shared" si="2"/>
        <v>本科学士</v>
      </c>
      <c r="G49" s="6" t="str">
        <f t="shared" si="10"/>
        <v>是</v>
      </c>
      <c r="H49" s="6" t="str">
        <f t="shared" si="3"/>
        <v>初中</v>
      </c>
      <c r="I49" s="6" t="str">
        <f t="shared" si="9"/>
        <v>203:数学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s="4" customFormat="1" ht="26.1" customHeight="1">
      <c r="A50" s="3">
        <v>48</v>
      </c>
      <c r="B50" s="4" t="str">
        <f>"肖芳权"</f>
        <v>肖芳权</v>
      </c>
      <c r="C50" s="4" t="str">
        <f>"男        "</f>
        <v xml:space="preserve">男        </v>
      </c>
      <c r="D50" s="4" t="str">
        <f t="shared" si="1"/>
        <v>汉族</v>
      </c>
      <c r="E50" s="5" t="str">
        <f>"玉林师范学院数学与应用数学"</f>
        <v>玉林师范学院数学与应用数学</v>
      </c>
      <c r="F50" s="5" t="str">
        <f t="shared" si="2"/>
        <v>本科学士</v>
      </c>
      <c r="G50" s="6" t="str">
        <f t="shared" si="10"/>
        <v>是</v>
      </c>
      <c r="H50" s="6" t="str">
        <f t="shared" si="3"/>
        <v>初中</v>
      </c>
      <c r="I50" s="6" t="str">
        <f t="shared" si="9"/>
        <v>203:数学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s="4" customFormat="1" ht="26.1" customHeight="1">
      <c r="A51" s="3">
        <v>49</v>
      </c>
      <c r="B51" s="4" t="str">
        <f>"陈俊璋"</f>
        <v>陈俊璋</v>
      </c>
      <c r="C51" s="4" t="str">
        <f>"男        "</f>
        <v xml:space="preserve">男        </v>
      </c>
      <c r="D51" s="4" t="str">
        <f t="shared" si="1"/>
        <v>汉族</v>
      </c>
      <c r="E51" s="5" t="str">
        <f>"楚雄师范学院物理学"</f>
        <v>楚雄师范学院物理学</v>
      </c>
      <c r="F51" s="5" t="str">
        <f t="shared" si="2"/>
        <v>本科学士</v>
      </c>
      <c r="G51" s="6" t="str">
        <f t="shared" si="10"/>
        <v>是</v>
      </c>
      <c r="H51" s="6" t="str">
        <f t="shared" si="3"/>
        <v>初中</v>
      </c>
      <c r="I51" s="6" t="str">
        <f t="shared" ref="I51:I57" si="11">"210:物理"</f>
        <v>210:物理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s="4" customFormat="1" ht="26.1" customHeight="1">
      <c r="A52" s="3">
        <v>50</v>
      </c>
      <c r="B52" s="4" t="str">
        <f>"罗宝连"</f>
        <v>罗宝连</v>
      </c>
      <c r="C52" s="4" t="str">
        <f>"女        "</f>
        <v xml:space="preserve">女        </v>
      </c>
      <c r="D52" s="4" t="str">
        <f t="shared" si="1"/>
        <v>汉族</v>
      </c>
      <c r="E52" s="5" t="str">
        <f>"嘉应学院物理师范"</f>
        <v>嘉应学院物理师范</v>
      </c>
      <c r="F52" s="5" t="str">
        <f t="shared" si="2"/>
        <v>本科学士</v>
      </c>
      <c r="G52" s="6" t="str">
        <f t="shared" si="10"/>
        <v>是</v>
      </c>
      <c r="H52" s="6" t="str">
        <f t="shared" si="3"/>
        <v>初中</v>
      </c>
      <c r="I52" s="6" t="str">
        <f t="shared" si="11"/>
        <v>210:物理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s="4" customFormat="1" ht="26.1" customHeight="1">
      <c r="A53" s="3">
        <v>51</v>
      </c>
      <c r="B53" s="4" t="str">
        <f>"梁友明"</f>
        <v>梁友明</v>
      </c>
      <c r="C53" s="4" t="str">
        <f>"男        "</f>
        <v xml:space="preserve">男        </v>
      </c>
      <c r="D53" s="4" t="str">
        <f t="shared" si="1"/>
        <v>汉族</v>
      </c>
      <c r="E53" s="5" t="str">
        <f>"玉林师范学院物理学"</f>
        <v>玉林师范学院物理学</v>
      </c>
      <c r="F53" s="5" t="str">
        <f t="shared" si="2"/>
        <v>本科学士</v>
      </c>
      <c r="G53" s="6" t="str">
        <f t="shared" si="10"/>
        <v>是</v>
      </c>
      <c r="H53" s="6" t="str">
        <f t="shared" si="3"/>
        <v>初中</v>
      </c>
      <c r="I53" s="6" t="str">
        <f t="shared" si="11"/>
        <v>210:物理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s="4" customFormat="1" ht="26.1" customHeight="1">
      <c r="A54" s="3">
        <v>52</v>
      </c>
      <c r="B54" s="4" t="str">
        <f>"罗冰冰"</f>
        <v>罗冰冰</v>
      </c>
      <c r="C54" s="4" t="str">
        <f>"女        "</f>
        <v xml:space="preserve">女        </v>
      </c>
      <c r="D54" s="4" t="str">
        <f t="shared" si="1"/>
        <v>汉族</v>
      </c>
      <c r="E54" s="5" t="str">
        <f>"玉林市师范学院应用物理学"</f>
        <v>玉林市师范学院应用物理学</v>
      </c>
      <c r="F54" s="5" t="str">
        <f t="shared" si="2"/>
        <v>本科学士</v>
      </c>
      <c r="G54" s="6" t="str">
        <f>"不是"</f>
        <v>不是</v>
      </c>
      <c r="H54" s="6" t="str">
        <f t="shared" si="3"/>
        <v>初中</v>
      </c>
      <c r="I54" s="6" t="str">
        <f t="shared" si="11"/>
        <v>210:物理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s="4" customFormat="1" ht="26.1" customHeight="1">
      <c r="A55" s="3">
        <v>53</v>
      </c>
      <c r="B55" s="4" t="str">
        <f>"黄筱夏"</f>
        <v>黄筱夏</v>
      </c>
      <c r="C55" s="4" t="str">
        <f>"女        "</f>
        <v xml:space="preserve">女        </v>
      </c>
      <c r="D55" s="4" t="str">
        <f t="shared" si="1"/>
        <v>汉族</v>
      </c>
      <c r="E55" s="5" t="str">
        <f>"玉林师范学院物理学"</f>
        <v>玉林师范学院物理学</v>
      </c>
      <c r="F55" s="5" t="str">
        <f t="shared" si="2"/>
        <v>本科学士</v>
      </c>
      <c r="G55" s="6" t="str">
        <f>"是"</f>
        <v>是</v>
      </c>
      <c r="H55" s="6" t="str">
        <f t="shared" si="3"/>
        <v>初中</v>
      </c>
      <c r="I55" s="6" t="str">
        <f t="shared" si="11"/>
        <v>210:物理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s="4" customFormat="1" ht="26.1" customHeight="1">
      <c r="A56" s="3">
        <v>54</v>
      </c>
      <c r="B56" s="4" t="str">
        <f>"吴冠宇"</f>
        <v>吴冠宇</v>
      </c>
      <c r="C56" s="4" t="str">
        <f>"男        "</f>
        <v xml:space="preserve">男        </v>
      </c>
      <c r="D56" s="4" t="str">
        <f t="shared" si="1"/>
        <v>汉族</v>
      </c>
      <c r="E56" s="5" t="str">
        <f>"玉林师范学院教育技术学"</f>
        <v>玉林师范学院教育技术学</v>
      </c>
      <c r="F56" s="5" t="str">
        <f t="shared" si="2"/>
        <v>本科学士</v>
      </c>
      <c r="G56" s="6" t="str">
        <f>"是"</f>
        <v>是</v>
      </c>
      <c r="H56" s="6" t="str">
        <f t="shared" si="3"/>
        <v>初中</v>
      </c>
      <c r="I56" s="6" t="str">
        <f t="shared" si="11"/>
        <v>210:物理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s="4" customFormat="1" ht="26.1" customHeight="1">
      <c r="A57" s="3">
        <v>55</v>
      </c>
      <c r="B57" s="4" t="str">
        <f>"潘雅婷"</f>
        <v>潘雅婷</v>
      </c>
      <c r="C57" s="4" t="str">
        <f>"女        "</f>
        <v xml:space="preserve">女        </v>
      </c>
      <c r="D57" s="4" t="str">
        <f t="shared" si="1"/>
        <v>汉族</v>
      </c>
      <c r="E57" s="5" t="str">
        <f>"玉林师范学院教育技术学"</f>
        <v>玉林师范学院教育技术学</v>
      </c>
      <c r="F57" s="5" t="str">
        <f t="shared" si="2"/>
        <v>本科学士</v>
      </c>
      <c r="G57" s="6" t="str">
        <f>"是"</f>
        <v>是</v>
      </c>
      <c r="H57" s="6" t="str">
        <f t="shared" si="3"/>
        <v>初中</v>
      </c>
      <c r="I57" s="6" t="str">
        <f t="shared" si="11"/>
        <v>210:物理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s="4" customFormat="1" ht="26.1" customHeight="1">
      <c r="A58" s="3">
        <v>56</v>
      </c>
      <c r="B58" s="4" t="str">
        <f>"王业"</f>
        <v>王业</v>
      </c>
      <c r="C58" s="4" t="str">
        <f>"男        "</f>
        <v xml:space="preserve">男        </v>
      </c>
      <c r="D58" s="4" t="str">
        <f t="shared" si="1"/>
        <v>汉族</v>
      </c>
      <c r="E58" s="5" t="str">
        <f>"河池学院化学"</f>
        <v>河池学院化学</v>
      </c>
      <c r="F58" s="5" t="str">
        <f t="shared" si="2"/>
        <v>本科学士</v>
      </c>
      <c r="G58" s="6" t="str">
        <f>"是"</f>
        <v>是</v>
      </c>
      <c r="H58" s="6" t="str">
        <f t="shared" si="3"/>
        <v>初中</v>
      </c>
      <c r="I58" s="6" t="str">
        <f t="shared" ref="I58:I67" si="12">"211:化学"</f>
        <v>211:化学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s="4" customFormat="1" ht="26.1" customHeight="1">
      <c r="A59" s="3">
        <v>57</v>
      </c>
      <c r="B59" s="4" t="str">
        <f>"郭媛媛"</f>
        <v>郭媛媛</v>
      </c>
      <c r="C59" s="4" t="str">
        <f t="shared" ref="C59:C121" si="13">"女        "</f>
        <v xml:space="preserve">女        </v>
      </c>
      <c r="D59" s="4" t="str">
        <f t="shared" si="1"/>
        <v>汉族</v>
      </c>
      <c r="E59" s="5" t="str">
        <f>"广西师范大学环境工程"</f>
        <v>广西师范大学环境工程</v>
      </c>
      <c r="F59" s="5" t="str">
        <f t="shared" si="2"/>
        <v>本科学士</v>
      </c>
      <c r="G59" s="6" t="str">
        <f>"不是"</f>
        <v>不是</v>
      </c>
      <c r="H59" s="6" t="str">
        <f t="shared" si="3"/>
        <v>初中</v>
      </c>
      <c r="I59" s="6" t="str">
        <f t="shared" si="12"/>
        <v>211:化学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s="4" customFormat="1" ht="26.1" customHeight="1">
      <c r="A60" s="3">
        <v>58</v>
      </c>
      <c r="B60" s="4" t="str">
        <f>"陈梦然"</f>
        <v>陈梦然</v>
      </c>
      <c r="C60" s="4" t="str">
        <f t="shared" si="13"/>
        <v xml:space="preserve">女        </v>
      </c>
      <c r="D60" s="4" t="str">
        <f t="shared" si="1"/>
        <v>汉族</v>
      </c>
      <c r="E60" s="5" t="str">
        <f>"玉林师范学院化学"</f>
        <v>玉林师范学院化学</v>
      </c>
      <c r="F60" s="5" t="str">
        <f t="shared" si="2"/>
        <v>本科学士</v>
      </c>
      <c r="G60" s="6" t="str">
        <f>"是"</f>
        <v>是</v>
      </c>
      <c r="H60" s="6" t="str">
        <f t="shared" si="3"/>
        <v>初中</v>
      </c>
      <c r="I60" s="6" t="str">
        <f t="shared" si="12"/>
        <v>211:化学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s="4" customFormat="1" ht="26.1" customHeight="1">
      <c r="A61" s="3">
        <v>59</v>
      </c>
      <c r="B61" s="4" t="str">
        <f>"凌朝敏"</f>
        <v>凌朝敏</v>
      </c>
      <c r="C61" s="4" t="str">
        <f t="shared" si="13"/>
        <v xml:space="preserve">女        </v>
      </c>
      <c r="D61" s="4" t="str">
        <f t="shared" si="1"/>
        <v>汉族</v>
      </c>
      <c r="E61" s="5" t="str">
        <f>"贵州师范大学科学教育"</f>
        <v>贵州师范大学科学教育</v>
      </c>
      <c r="F61" s="5" t="str">
        <f t="shared" si="2"/>
        <v>本科学士</v>
      </c>
      <c r="G61" s="6" t="str">
        <f>"是"</f>
        <v>是</v>
      </c>
      <c r="H61" s="6" t="str">
        <f t="shared" si="3"/>
        <v>初中</v>
      </c>
      <c r="I61" s="6" t="str">
        <f t="shared" si="12"/>
        <v>211:化学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s="4" customFormat="1" ht="26.1" customHeight="1">
      <c r="A62" s="3">
        <v>60</v>
      </c>
      <c r="B62" s="4" t="str">
        <f>"马玉华"</f>
        <v>马玉华</v>
      </c>
      <c r="C62" s="4" t="str">
        <f t="shared" si="13"/>
        <v xml:space="preserve">女        </v>
      </c>
      <c r="D62" s="4" t="str">
        <f t="shared" si="1"/>
        <v>汉族</v>
      </c>
      <c r="E62" s="5" t="str">
        <f>"贵州大学材料科学与工程"</f>
        <v>贵州大学材料科学与工程</v>
      </c>
      <c r="F62" s="5" t="str">
        <f>"本科无学位"</f>
        <v>本科无学位</v>
      </c>
      <c r="G62" s="6" t="str">
        <f>"不是"</f>
        <v>不是</v>
      </c>
      <c r="H62" s="6" t="str">
        <f t="shared" si="3"/>
        <v>初中</v>
      </c>
      <c r="I62" s="6" t="str">
        <f t="shared" si="12"/>
        <v>211:化学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s="4" customFormat="1" ht="26.1" customHeight="1">
      <c r="A63" s="3">
        <v>61</v>
      </c>
      <c r="B63" s="4" t="str">
        <f>"王丽敏"</f>
        <v>王丽敏</v>
      </c>
      <c r="C63" s="4" t="str">
        <f t="shared" si="13"/>
        <v xml:space="preserve">女        </v>
      </c>
      <c r="D63" s="4" t="str">
        <f t="shared" si="1"/>
        <v>汉族</v>
      </c>
      <c r="E63" s="5" t="str">
        <f>"河池学院化学"</f>
        <v>河池学院化学</v>
      </c>
      <c r="F63" s="5" t="str">
        <f>"本科学士"</f>
        <v>本科学士</v>
      </c>
      <c r="G63" s="6" t="str">
        <f>"是"</f>
        <v>是</v>
      </c>
      <c r="H63" s="6" t="str">
        <f t="shared" si="3"/>
        <v>初中</v>
      </c>
      <c r="I63" s="6" t="str">
        <f t="shared" si="12"/>
        <v>211:化学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s="4" customFormat="1" ht="26.1" customHeight="1">
      <c r="A64" s="3">
        <v>62</v>
      </c>
      <c r="B64" s="4" t="str">
        <f>"陈敏婷"</f>
        <v>陈敏婷</v>
      </c>
      <c r="C64" s="4" t="str">
        <f t="shared" si="13"/>
        <v xml:space="preserve">女        </v>
      </c>
      <c r="D64" s="4" t="str">
        <f t="shared" si="1"/>
        <v>汉族</v>
      </c>
      <c r="E64" s="5" t="str">
        <f>"玉林师范学院化学"</f>
        <v>玉林师范学院化学</v>
      </c>
      <c r="F64" s="5" t="str">
        <f>"本科学士"</f>
        <v>本科学士</v>
      </c>
      <c r="G64" s="6" t="str">
        <f>"是"</f>
        <v>是</v>
      </c>
      <c r="H64" s="6" t="str">
        <f t="shared" si="3"/>
        <v>初中</v>
      </c>
      <c r="I64" s="6" t="str">
        <f t="shared" si="12"/>
        <v>211:化学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s="4" customFormat="1" ht="26.1" customHeight="1">
      <c r="A65" s="3">
        <v>63</v>
      </c>
      <c r="B65" s="4" t="str">
        <f>"黄一梅"</f>
        <v>黄一梅</v>
      </c>
      <c r="C65" s="4" t="str">
        <f t="shared" si="13"/>
        <v xml:space="preserve">女        </v>
      </c>
      <c r="D65" s="4" t="str">
        <f t="shared" si="1"/>
        <v>汉族</v>
      </c>
      <c r="E65" s="5" t="str">
        <f>"玉林师范学院材料化学"</f>
        <v>玉林师范学院材料化学</v>
      </c>
      <c r="F65" s="5" t="str">
        <f>"本科学士"</f>
        <v>本科学士</v>
      </c>
      <c r="G65" s="6" t="str">
        <f>"不是"</f>
        <v>不是</v>
      </c>
      <c r="H65" s="6" t="str">
        <f t="shared" si="3"/>
        <v>初中</v>
      </c>
      <c r="I65" s="6" t="str">
        <f t="shared" si="12"/>
        <v>211:化学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s="4" customFormat="1" ht="26.1" customHeight="1">
      <c r="A66" s="3">
        <v>64</v>
      </c>
      <c r="B66" s="4" t="str">
        <f>"李远欢"</f>
        <v>李远欢</v>
      </c>
      <c r="C66" s="4" t="str">
        <f t="shared" si="13"/>
        <v xml:space="preserve">女        </v>
      </c>
      <c r="D66" s="4" t="str">
        <f t="shared" si="1"/>
        <v>汉族</v>
      </c>
      <c r="E66" s="5" t="str">
        <f>"玉林师范学院化学"</f>
        <v>玉林师范学院化学</v>
      </c>
      <c r="F66" s="5" t="str">
        <f t="shared" ref="F66" si="14">"本科学士"</f>
        <v>本科学士</v>
      </c>
      <c r="G66" s="6" t="str">
        <f>"是"</f>
        <v>是</v>
      </c>
      <c r="H66" s="6" t="str">
        <f t="shared" si="3"/>
        <v>初中</v>
      </c>
      <c r="I66" s="6" t="str">
        <f t="shared" si="12"/>
        <v>211:化学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s="4" customFormat="1" ht="26.1" customHeight="1">
      <c r="A67" s="3">
        <v>65</v>
      </c>
      <c r="B67" s="4" t="str">
        <f>"严洁萍"</f>
        <v>严洁萍</v>
      </c>
      <c r="C67" s="4" t="str">
        <f t="shared" si="13"/>
        <v xml:space="preserve">女        </v>
      </c>
      <c r="D67" s="4" t="str">
        <f>"汉族"</f>
        <v>汉族</v>
      </c>
      <c r="E67" s="5" t="str">
        <f>"河池学院化学"</f>
        <v>河池学院化学</v>
      </c>
      <c r="F67" s="5" t="str">
        <f>"专科学士"</f>
        <v>专科学士</v>
      </c>
      <c r="G67" s="6" t="str">
        <f>"是"</f>
        <v>是</v>
      </c>
      <c r="H67" s="6" t="str">
        <f t="shared" ref="H67:H130" si="15">"初中"</f>
        <v>初中</v>
      </c>
      <c r="I67" s="6" t="str">
        <f t="shared" si="12"/>
        <v>211:化学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s="4" customFormat="1" ht="26.1" customHeight="1">
      <c r="A68" s="3">
        <v>66</v>
      </c>
      <c r="B68" s="4" t="str">
        <f>"庞小乐"</f>
        <v>庞小乐</v>
      </c>
      <c r="C68" s="4" t="str">
        <f t="shared" si="13"/>
        <v xml:space="preserve">女        </v>
      </c>
      <c r="D68" s="4" t="str">
        <f>"汉族"</f>
        <v>汉族</v>
      </c>
      <c r="E68" s="5" t="str">
        <f>"广西师范学院生物科学"</f>
        <v>广西师范学院生物科学</v>
      </c>
      <c r="F68" s="5" t="str">
        <f t="shared" ref="F68:F80" si="16">"本科学士"</f>
        <v>本科学士</v>
      </c>
      <c r="G68" s="6" t="str">
        <f>"是"</f>
        <v>是</v>
      </c>
      <c r="H68" s="6" t="str">
        <f t="shared" si="15"/>
        <v>初中</v>
      </c>
      <c r="I68" s="6" t="str">
        <f t="shared" ref="I68:I74" si="17">"209:生物"</f>
        <v>209:生物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s="4" customFormat="1" ht="26.1" customHeight="1">
      <c r="A69" s="3">
        <v>67</v>
      </c>
      <c r="B69" s="4" t="str">
        <f>"袁伦秋"</f>
        <v>袁伦秋</v>
      </c>
      <c r="C69" s="4" t="str">
        <f t="shared" si="13"/>
        <v xml:space="preserve">女        </v>
      </c>
      <c r="D69" s="4" t="str">
        <f>"汉族"</f>
        <v>汉族</v>
      </c>
      <c r="E69" s="5" t="str">
        <f>"广西师范大学生物技术"</f>
        <v>广西师范大学生物技术</v>
      </c>
      <c r="F69" s="5" t="str">
        <f t="shared" si="16"/>
        <v>本科学士</v>
      </c>
      <c r="G69" s="6" t="str">
        <f>"不是"</f>
        <v>不是</v>
      </c>
      <c r="H69" s="6" t="str">
        <f t="shared" si="15"/>
        <v>初中</v>
      </c>
      <c r="I69" s="6" t="str">
        <f t="shared" si="17"/>
        <v>209:生物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s="4" customFormat="1" ht="26.1" customHeight="1">
      <c r="A70" s="3">
        <v>68</v>
      </c>
      <c r="B70" s="4" t="str">
        <f>"黄检妹"</f>
        <v>黄检妹</v>
      </c>
      <c r="C70" s="4" t="str">
        <f t="shared" si="13"/>
        <v xml:space="preserve">女        </v>
      </c>
      <c r="D70" s="4" t="str">
        <f>"汉族"</f>
        <v>汉族</v>
      </c>
      <c r="E70" s="5" t="str">
        <f>"玉林师范学院生物技术"</f>
        <v>玉林师范学院生物技术</v>
      </c>
      <c r="F70" s="5" t="str">
        <f t="shared" si="16"/>
        <v>本科学士</v>
      </c>
      <c r="G70" s="6" t="str">
        <f>"不是"</f>
        <v>不是</v>
      </c>
      <c r="H70" s="6" t="str">
        <f t="shared" si="15"/>
        <v>初中</v>
      </c>
      <c r="I70" s="6" t="str">
        <f t="shared" si="17"/>
        <v>209:生物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s="4" customFormat="1" ht="26.1" customHeight="1">
      <c r="A71" s="3">
        <v>69</v>
      </c>
      <c r="B71" s="4" t="str">
        <f>"李玉凤"</f>
        <v>李玉凤</v>
      </c>
      <c r="C71" s="4" t="str">
        <f t="shared" si="13"/>
        <v xml:space="preserve">女        </v>
      </c>
      <c r="D71" s="4" t="str">
        <f>"布依族"</f>
        <v>布依族</v>
      </c>
      <c r="E71" s="5" t="str">
        <f>"广西民族师范学院生物科学"</f>
        <v>广西民族师范学院生物科学</v>
      </c>
      <c r="F71" s="5" t="str">
        <f t="shared" si="16"/>
        <v>本科学士</v>
      </c>
      <c r="G71" s="6" t="str">
        <f>"是"</f>
        <v>是</v>
      </c>
      <c r="H71" s="6" t="str">
        <f t="shared" si="15"/>
        <v>初中</v>
      </c>
      <c r="I71" s="6" t="str">
        <f t="shared" si="17"/>
        <v>209:生物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s="4" customFormat="1" ht="26.1" customHeight="1">
      <c r="A72" s="3">
        <v>70</v>
      </c>
      <c r="B72" s="4" t="str">
        <f>"陈丹"</f>
        <v>陈丹</v>
      </c>
      <c r="C72" s="4" t="str">
        <f t="shared" si="13"/>
        <v xml:space="preserve">女        </v>
      </c>
      <c r="D72" s="4" t="str">
        <f t="shared" ref="D72:D116" si="18">"汉族"</f>
        <v>汉族</v>
      </c>
      <c r="E72" s="5" t="str">
        <f>"贺州学院生物工程"</f>
        <v>贺州学院生物工程</v>
      </c>
      <c r="F72" s="5" t="str">
        <f t="shared" si="16"/>
        <v>本科学士</v>
      </c>
      <c r="G72" s="6" t="str">
        <f>"不是"</f>
        <v>不是</v>
      </c>
      <c r="H72" s="6" t="str">
        <f t="shared" si="15"/>
        <v>初中</v>
      </c>
      <c r="I72" s="6" t="str">
        <f t="shared" si="17"/>
        <v>209:生物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s="4" customFormat="1" ht="26.1" customHeight="1">
      <c r="A73" s="3">
        <v>71</v>
      </c>
      <c r="B73" s="4" t="str">
        <f>"卢圆圆"</f>
        <v>卢圆圆</v>
      </c>
      <c r="C73" s="4" t="str">
        <f t="shared" si="13"/>
        <v xml:space="preserve">女        </v>
      </c>
      <c r="D73" s="4" t="str">
        <f t="shared" si="18"/>
        <v>汉族</v>
      </c>
      <c r="E73" s="5" t="str">
        <f>"玉林师范学院生物技术"</f>
        <v>玉林师范学院生物技术</v>
      </c>
      <c r="F73" s="5" t="str">
        <f t="shared" si="16"/>
        <v>本科学士</v>
      </c>
      <c r="G73" s="6" t="str">
        <f>"不是"</f>
        <v>不是</v>
      </c>
      <c r="H73" s="6" t="str">
        <f t="shared" si="15"/>
        <v>初中</v>
      </c>
      <c r="I73" s="6" t="str">
        <f t="shared" si="17"/>
        <v>209:生物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s="4" customFormat="1" ht="26.1" customHeight="1">
      <c r="A74" s="3">
        <v>72</v>
      </c>
      <c r="B74" s="4" t="str">
        <f>"秦伟玲"</f>
        <v>秦伟玲</v>
      </c>
      <c r="C74" s="4" t="str">
        <f t="shared" si="13"/>
        <v xml:space="preserve">女        </v>
      </c>
      <c r="D74" s="4" t="str">
        <f t="shared" si="18"/>
        <v>汉族</v>
      </c>
      <c r="E74" s="5" t="str">
        <f>"玉林师范学院生物科学"</f>
        <v>玉林师范学院生物科学</v>
      </c>
      <c r="F74" s="5" t="str">
        <f t="shared" si="16"/>
        <v>本科学士</v>
      </c>
      <c r="G74" s="6" t="str">
        <f>"是"</f>
        <v>是</v>
      </c>
      <c r="H74" s="6" t="str">
        <f t="shared" si="15"/>
        <v>初中</v>
      </c>
      <c r="I74" s="6" t="str">
        <f t="shared" si="17"/>
        <v>209:生物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s="4" customFormat="1" ht="26.1" customHeight="1">
      <c r="A75" s="3">
        <v>73</v>
      </c>
      <c r="B75" s="4" t="str">
        <f>"杨婕"</f>
        <v>杨婕</v>
      </c>
      <c r="C75" s="4" t="str">
        <f t="shared" si="13"/>
        <v xml:space="preserve">女        </v>
      </c>
      <c r="D75" s="4" t="str">
        <f t="shared" si="18"/>
        <v>汉族</v>
      </c>
      <c r="E75" s="5" t="str">
        <f>"玉林师范学院历史学"</f>
        <v>玉林师范学院历史学</v>
      </c>
      <c r="F75" s="5" t="str">
        <f t="shared" si="16"/>
        <v>本科学士</v>
      </c>
      <c r="G75" s="6" t="str">
        <f>"是"</f>
        <v>是</v>
      </c>
      <c r="H75" s="6" t="str">
        <f t="shared" si="15"/>
        <v>初中</v>
      </c>
      <c r="I75" s="6" t="str">
        <f t="shared" ref="I75:I80" si="19">"206:历史"</f>
        <v>206:历史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s="4" customFormat="1" ht="26.1" customHeight="1">
      <c r="A76" s="3">
        <v>74</v>
      </c>
      <c r="B76" s="4" t="str">
        <f>"顾凤巧"</f>
        <v>顾凤巧</v>
      </c>
      <c r="C76" s="4" t="str">
        <f t="shared" si="13"/>
        <v xml:space="preserve">女        </v>
      </c>
      <c r="D76" s="4" t="str">
        <f t="shared" si="18"/>
        <v>汉族</v>
      </c>
      <c r="E76" s="5" t="str">
        <f>"广西师范学院历史学"</f>
        <v>广西师范学院历史学</v>
      </c>
      <c r="F76" s="5" t="str">
        <f t="shared" si="16"/>
        <v>本科学士</v>
      </c>
      <c r="G76" s="6" t="str">
        <f>"是"</f>
        <v>是</v>
      </c>
      <c r="H76" s="6" t="str">
        <f t="shared" si="15"/>
        <v>初中</v>
      </c>
      <c r="I76" s="6" t="str">
        <f t="shared" si="19"/>
        <v>206:历史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s="4" customFormat="1" ht="26.1" customHeight="1">
      <c r="A77" s="3">
        <v>75</v>
      </c>
      <c r="B77" s="4" t="str">
        <f>"张红燕"</f>
        <v>张红燕</v>
      </c>
      <c r="C77" s="4" t="str">
        <f t="shared" si="13"/>
        <v xml:space="preserve">女        </v>
      </c>
      <c r="D77" s="4" t="str">
        <f t="shared" si="18"/>
        <v>汉族</v>
      </c>
      <c r="E77" s="5" t="str">
        <f>"玉林师范学院历史学历史文化旅游方向"</f>
        <v>玉林师范学院历史学历史文化旅游方向</v>
      </c>
      <c r="F77" s="5" t="str">
        <f t="shared" si="16"/>
        <v>本科学士</v>
      </c>
      <c r="G77" s="6" t="str">
        <f>"不是"</f>
        <v>不是</v>
      </c>
      <c r="H77" s="6" t="str">
        <f t="shared" si="15"/>
        <v>初中</v>
      </c>
      <c r="I77" s="6" t="str">
        <f t="shared" si="19"/>
        <v>206:历史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s="4" customFormat="1" ht="26.1" customHeight="1">
      <c r="A78" s="3">
        <v>76</v>
      </c>
      <c r="B78" s="4" t="str">
        <f>"李映川"</f>
        <v>李映川</v>
      </c>
      <c r="C78" s="4" t="str">
        <f t="shared" si="13"/>
        <v xml:space="preserve">女        </v>
      </c>
      <c r="D78" s="4" t="str">
        <f t="shared" si="18"/>
        <v>汉族</v>
      </c>
      <c r="E78" s="5" t="str">
        <f>"玉林师范学院历史学"</f>
        <v>玉林师范学院历史学</v>
      </c>
      <c r="F78" s="5" t="str">
        <f t="shared" si="16"/>
        <v>本科学士</v>
      </c>
      <c r="G78" s="6" t="str">
        <f>"是"</f>
        <v>是</v>
      </c>
      <c r="H78" s="6" t="str">
        <f t="shared" si="15"/>
        <v>初中</v>
      </c>
      <c r="I78" s="6" t="str">
        <f t="shared" si="19"/>
        <v>206:历史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s="4" customFormat="1" ht="26.1" customHeight="1">
      <c r="A79" s="3">
        <v>77</v>
      </c>
      <c r="B79" s="4" t="str">
        <f>"严燕清"</f>
        <v>严燕清</v>
      </c>
      <c r="C79" s="4" t="str">
        <f t="shared" si="13"/>
        <v xml:space="preserve">女        </v>
      </c>
      <c r="D79" s="4" t="str">
        <f t="shared" si="18"/>
        <v>汉族</v>
      </c>
      <c r="E79" s="5" t="str">
        <f>"玉林师范学院历史学"</f>
        <v>玉林师范学院历史学</v>
      </c>
      <c r="F79" s="5" t="str">
        <f t="shared" si="16"/>
        <v>本科学士</v>
      </c>
      <c r="G79" s="6" t="str">
        <f>"是"</f>
        <v>是</v>
      </c>
      <c r="H79" s="6" t="str">
        <f t="shared" si="15"/>
        <v>初中</v>
      </c>
      <c r="I79" s="6" t="str">
        <f t="shared" si="19"/>
        <v>206:历史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s="4" customFormat="1" ht="26.1" customHeight="1">
      <c r="A80" s="3">
        <v>78</v>
      </c>
      <c r="B80" s="4" t="str">
        <f>"李莉"</f>
        <v>李莉</v>
      </c>
      <c r="C80" s="4" t="str">
        <f t="shared" si="13"/>
        <v xml:space="preserve">女        </v>
      </c>
      <c r="D80" s="4" t="str">
        <f t="shared" si="18"/>
        <v>汉族</v>
      </c>
      <c r="E80" s="5" t="str">
        <f>"贺州学院历史学"</f>
        <v>贺州学院历史学</v>
      </c>
      <c r="F80" s="5" t="str">
        <f t="shared" si="16"/>
        <v>本科学士</v>
      </c>
      <c r="G80" s="6" t="str">
        <f>"不是"</f>
        <v>不是</v>
      </c>
      <c r="H80" s="6" t="str">
        <f t="shared" si="15"/>
        <v>初中</v>
      </c>
      <c r="I80" s="6" t="str">
        <f t="shared" si="19"/>
        <v>206:历史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s="4" customFormat="1" ht="26.1" customHeight="1">
      <c r="A81" s="3">
        <v>79</v>
      </c>
      <c r="B81" s="4" t="str">
        <f>"赵媚"</f>
        <v>赵媚</v>
      </c>
      <c r="C81" s="4" t="str">
        <f t="shared" si="13"/>
        <v xml:space="preserve">女        </v>
      </c>
      <c r="D81" s="4" t="str">
        <f t="shared" si="18"/>
        <v>汉族</v>
      </c>
      <c r="E81" s="5" t="str">
        <f>"安顺学院地理科学"</f>
        <v>安顺学院地理科学</v>
      </c>
      <c r="F81" s="5" t="str">
        <f>"本科学士"</f>
        <v>本科学士</v>
      </c>
      <c r="G81" s="6" t="str">
        <f>"是"</f>
        <v>是</v>
      </c>
      <c r="H81" s="6" t="str">
        <f t="shared" si="15"/>
        <v>初中</v>
      </c>
      <c r="I81" s="6" t="str">
        <f>"207:地理"</f>
        <v>207:地理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s="4" customFormat="1" ht="26.1" customHeight="1">
      <c r="A82" s="3">
        <v>80</v>
      </c>
      <c r="B82" s="4" t="str">
        <f>"刘欣"</f>
        <v>刘欣</v>
      </c>
      <c r="C82" s="4" t="str">
        <f t="shared" si="13"/>
        <v xml:space="preserve">女        </v>
      </c>
      <c r="D82" s="4" t="str">
        <f t="shared" si="18"/>
        <v>汉族</v>
      </c>
      <c r="E82" s="5" t="str">
        <f>"济南大学自然地理与资源环境"</f>
        <v>济南大学自然地理与资源环境</v>
      </c>
      <c r="F82" s="5" t="str">
        <f>"本科学士"</f>
        <v>本科学士</v>
      </c>
      <c r="G82" s="6" t="str">
        <f>"不是"</f>
        <v>不是</v>
      </c>
      <c r="H82" s="6" t="str">
        <f t="shared" si="15"/>
        <v>初中</v>
      </c>
      <c r="I82" s="6" t="str">
        <f>"207:地理"</f>
        <v>207:地理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s="4" customFormat="1" ht="26.1" customHeight="1">
      <c r="A83" s="3">
        <v>81</v>
      </c>
      <c r="B83" s="4" t="str">
        <f>"黎家敏"</f>
        <v>黎家敏</v>
      </c>
      <c r="C83" s="4" t="str">
        <f t="shared" si="13"/>
        <v xml:space="preserve">女        </v>
      </c>
      <c r="D83" s="4" t="str">
        <f t="shared" si="18"/>
        <v>汉族</v>
      </c>
      <c r="E83" s="5" t="str">
        <f>"广西师范学院地理科学"</f>
        <v>广西师范学院地理科学</v>
      </c>
      <c r="F83" s="5" t="str">
        <f>"本科学士"</f>
        <v>本科学士</v>
      </c>
      <c r="G83" s="6" t="str">
        <f>"是"</f>
        <v>是</v>
      </c>
      <c r="H83" s="6" t="str">
        <f t="shared" si="15"/>
        <v>初中</v>
      </c>
      <c r="I83" s="6" t="str">
        <f>"207:地理"</f>
        <v>207:地理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s="4" customFormat="1" ht="26.1" customHeight="1">
      <c r="A84" s="3">
        <v>82</v>
      </c>
      <c r="B84" s="4" t="str">
        <f>"徐燕莹"</f>
        <v>徐燕莹</v>
      </c>
      <c r="C84" s="4" t="str">
        <f t="shared" si="13"/>
        <v xml:space="preserve">女        </v>
      </c>
      <c r="D84" s="4" t="str">
        <f t="shared" si="18"/>
        <v>汉族</v>
      </c>
      <c r="E84" s="5" t="str">
        <f>"广西教育学院地理教育"</f>
        <v>广西教育学院地理教育</v>
      </c>
      <c r="F84" s="5" t="str">
        <f>"专科学士"</f>
        <v>专科学士</v>
      </c>
      <c r="G84" s="6" t="str">
        <f>"是"</f>
        <v>是</v>
      </c>
      <c r="H84" s="6" t="str">
        <f t="shared" si="15"/>
        <v>初中</v>
      </c>
      <c r="I84" s="6" t="str">
        <f>"207:地理"</f>
        <v>207:地理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s="4" customFormat="1" ht="26.1" customHeight="1">
      <c r="A85" s="3">
        <v>83</v>
      </c>
      <c r="B85" s="4" t="str">
        <f>"杨玉婷"</f>
        <v>杨玉婷</v>
      </c>
      <c r="C85" s="4" t="str">
        <f t="shared" si="13"/>
        <v xml:space="preserve">女        </v>
      </c>
      <c r="D85" s="4" t="str">
        <f t="shared" si="18"/>
        <v>汉族</v>
      </c>
      <c r="E85" s="5" t="str">
        <f>"钦州学院地理信息科学"</f>
        <v>钦州学院地理信息科学</v>
      </c>
      <c r="F85" s="5" t="str">
        <f t="shared" ref="F85:F137" si="20">"本科学士"</f>
        <v>本科学士</v>
      </c>
      <c r="G85" s="6" t="str">
        <f>"不是"</f>
        <v>不是</v>
      </c>
      <c r="H85" s="6" t="str">
        <f t="shared" si="15"/>
        <v>初中</v>
      </c>
      <c r="I85" s="6" t="str">
        <f>"207:地理"</f>
        <v>207:地理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s="4" customFormat="1" ht="26.1" customHeight="1">
      <c r="A86" s="3">
        <v>84</v>
      </c>
      <c r="B86" s="4" t="str">
        <f>"罗红华"</f>
        <v>罗红华</v>
      </c>
      <c r="C86" s="4" t="str">
        <f t="shared" si="13"/>
        <v xml:space="preserve">女        </v>
      </c>
      <c r="D86" s="4" t="str">
        <f t="shared" si="18"/>
        <v>汉族</v>
      </c>
      <c r="E86" s="5" t="str">
        <f>"玉林师范学院英语"</f>
        <v>玉林师范学院英语</v>
      </c>
      <c r="F86" s="5" t="str">
        <f t="shared" si="20"/>
        <v>本科学士</v>
      </c>
      <c r="G86" s="6" t="str">
        <f>"是"</f>
        <v>是</v>
      </c>
      <c r="H86" s="6" t="str">
        <f t="shared" si="15"/>
        <v>初中</v>
      </c>
      <c r="I86" s="6" t="str">
        <f t="shared" ref="I86:I121" si="21">"204:英语"</f>
        <v>204:英语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s="4" customFormat="1" ht="26.1" customHeight="1">
      <c r="A87" s="3">
        <v>85</v>
      </c>
      <c r="B87" s="4" t="str">
        <f>"李春萍"</f>
        <v>李春萍</v>
      </c>
      <c r="C87" s="4" t="str">
        <f t="shared" si="13"/>
        <v xml:space="preserve">女        </v>
      </c>
      <c r="D87" s="4" t="str">
        <f t="shared" si="18"/>
        <v>汉族</v>
      </c>
      <c r="E87" s="5" t="str">
        <f>"广西民族师范学院英语"</f>
        <v>广西民族师范学院英语</v>
      </c>
      <c r="F87" s="5" t="str">
        <f t="shared" si="20"/>
        <v>本科学士</v>
      </c>
      <c r="G87" s="6" t="str">
        <f>"是"</f>
        <v>是</v>
      </c>
      <c r="H87" s="6" t="str">
        <f t="shared" si="15"/>
        <v>初中</v>
      </c>
      <c r="I87" s="6" t="str">
        <f t="shared" si="21"/>
        <v>204:英语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s="4" customFormat="1" ht="26.1" customHeight="1">
      <c r="A88" s="3">
        <v>86</v>
      </c>
      <c r="B88" s="4" t="str">
        <f>"钟豪霖"</f>
        <v>钟豪霖</v>
      </c>
      <c r="C88" s="4" t="str">
        <f t="shared" si="13"/>
        <v xml:space="preserve">女        </v>
      </c>
      <c r="D88" s="4" t="str">
        <f t="shared" si="18"/>
        <v>汉族</v>
      </c>
      <c r="E88" s="5" t="str">
        <f>"广西民族师范学院英语教育英语"</f>
        <v>广西民族师范学院英语教育英语</v>
      </c>
      <c r="F88" s="5" t="str">
        <f t="shared" si="20"/>
        <v>本科学士</v>
      </c>
      <c r="G88" s="6" t="str">
        <f>"是"</f>
        <v>是</v>
      </c>
      <c r="H88" s="6" t="str">
        <f t="shared" si="15"/>
        <v>初中</v>
      </c>
      <c r="I88" s="6" t="str">
        <f t="shared" si="21"/>
        <v>204:英语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s="4" customFormat="1" ht="26.1" customHeight="1">
      <c r="A89" s="3">
        <v>87</v>
      </c>
      <c r="B89" s="4" t="str">
        <f>"周李灵"</f>
        <v>周李灵</v>
      </c>
      <c r="C89" s="4" t="str">
        <f t="shared" si="13"/>
        <v xml:space="preserve">女        </v>
      </c>
      <c r="D89" s="4" t="str">
        <f t="shared" si="18"/>
        <v>汉族</v>
      </c>
      <c r="E89" s="5" t="str">
        <f>"广西外国语学院英语"</f>
        <v>广西外国语学院英语</v>
      </c>
      <c r="F89" s="5" t="str">
        <f t="shared" si="20"/>
        <v>本科学士</v>
      </c>
      <c r="G89" s="6" t="str">
        <f>"不是"</f>
        <v>不是</v>
      </c>
      <c r="H89" s="6" t="str">
        <f t="shared" si="15"/>
        <v>初中</v>
      </c>
      <c r="I89" s="6" t="str">
        <f t="shared" si="21"/>
        <v>204:英语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s="4" customFormat="1" ht="26.1" customHeight="1">
      <c r="A90" s="3">
        <v>88</v>
      </c>
      <c r="B90" s="4" t="str">
        <f>"徐方萍"</f>
        <v>徐方萍</v>
      </c>
      <c r="C90" s="4" t="str">
        <f t="shared" si="13"/>
        <v xml:space="preserve">女        </v>
      </c>
      <c r="D90" s="4" t="str">
        <f t="shared" si="18"/>
        <v>汉族</v>
      </c>
      <c r="E90" s="5" t="str">
        <f>"广西师范大学漓江学院英语"</f>
        <v>广西师范大学漓江学院英语</v>
      </c>
      <c r="F90" s="5" t="str">
        <f t="shared" si="20"/>
        <v>本科学士</v>
      </c>
      <c r="G90" s="6" t="str">
        <f>"是"</f>
        <v>是</v>
      </c>
      <c r="H90" s="6" t="str">
        <f t="shared" si="15"/>
        <v>初中</v>
      </c>
      <c r="I90" s="6" t="str">
        <f t="shared" si="21"/>
        <v>204:英语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s="4" customFormat="1" ht="26.1" customHeight="1">
      <c r="A91" s="3">
        <v>89</v>
      </c>
      <c r="B91" s="4" t="str">
        <f>"殷海娟"</f>
        <v>殷海娟</v>
      </c>
      <c r="C91" s="4" t="str">
        <f t="shared" si="13"/>
        <v xml:space="preserve">女        </v>
      </c>
      <c r="D91" s="4" t="str">
        <f t="shared" si="18"/>
        <v>汉族</v>
      </c>
      <c r="E91" s="5" t="str">
        <f>"河池学院英语"</f>
        <v>河池学院英语</v>
      </c>
      <c r="F91" s="5" t="str">
        <f t="shared" si="20"/>
        <v>本科学士</v>
      </c>
      <c r="G91" s="6" t="str">
        <f>"是"</f>
        <v>是</v>
      </c>
      <c r="H91" s="6" t="str">
        <f t="shared" si="15"/>
        <v>初中</v>
      </c>
      <c r="I91" s="6" t="str">
        <f t="shared" si="21"/>
        <v>204:英语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s="4" customFormat="1" ht="26.1" customHeight="1">
      <c r="A92" s="3">
        <v>90</v>
      </c>
      <c r="B92" s="4" t="str">
        <f>"梁晓婷"</f>
        <v>梁晓婷</v>
      </c>
      <c r="C92" s="4" t="str">
        <f t="shared" si="13"/>
        <v xml:space="preserve">女        </v>
      </c>
      <c r="D92" s="4" t="str">
        <f t="shared" si="18"/>
        <v>汉族</v>
      </c>
      <c r="E92" s="5" t="str">
        <f>"广西师范大学英语翻译"</f>
        <v>广西师范大学英语翻译</v>
      </c>
      <c r="F92" s="5" t="str">
        <f t="shared" si="20"/>
        <v>本科学士</v>
      </c>
      <c r="G92" s="6" t="str">
        <f>"不是"</f>
        <v>不是</v>
      </c>
      <c r="H92" s="6" t="str">
        <f t="shared" si="15"/>
        <v>初中</v>
      </c>
      <c r="I92" s="6" t="str">
        <f t="shared" si="21"/>
        <v>204:英语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s="4" customFormat="1" ht="26.1" customHeight="1">
      <c r="A93" s="3">
        <v>91</v>
      </c>
      <c r="B93" s="4" t="str">
        <f>"邓红英"</f>
        <v>邓红英</v>
      </c>
      <c r="C93" s="4" t="str">
        <f t="shared" si="13"/>
        <v xml:space="preserve">女        </v>
      </c>
      <c r="D93" s="4" t="str">
        <f t="shared" si="18"/>
        <v>汉族</v>
      </c>
      <c r="E93" s="5" t="str">
        <f>"玉林师范学院英语"</f>
        <v>玉林师范学院英语</v>
      </c>
      <c r="F93" s="5" t="str">
        <f t="shared" si="20"/>
        <v>本科学士</v>
      </c>
      <c r="G93" s="6" t="str">
        <f>"是"</f>
        <v>是</v>
      </c>
      <c r="H93" s="6" t="str">
        <f t="shared" si="15"/>
        <v>初中</v>
      </c>
      <c r="I93" s="6" t="str">
        <f t="shared" si="21"/>
        <v>204:英语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s="4" customFormat="1" ht="26.1" customHeight="1">
      <c r="A94" s="3">
        <v>92</v>
      </c>
      <c r="B94" s="4" t="str">
        <f>"甘林艳"</f>
        <v>甘林艳</v>
      </c>
      <c r="C94" s="4" t="str">
        <f t="shared" si="13"/>
        <v xml:space="preserve">女        </v>
      </c>
      <c r="D94" s="4" t="str">
        <f t="shared" si="18"/>
        <v>汉族</v>
      </c>
      <c r="E94" s="5" t="str">
        <f>"广西民族师范学院英语教育"</f>
        <v>广西民族师范学院英语教育</v>
      </c>
      <c r="F94" s="5" t="str">
        <f t="shared" si="20"/>
        <v>本科学士</v>
      </c>
      <c r="G94" s="6" t="str">
        <f>"是"</f>
        <v>是</v>
      </c>
      <c r="H94" s="6" t="str">
        <f t="shared" si="15"/>
        <v>初中</v>
      </c>
      <c r="I94" s="6" t="str">
        <f t="shared" si="21"/>
        <v>204:英语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s="4" customFormat="1" ht="26.1" customHeight="1">
      <c r="A95" s="3">
        <v>93</v>
      </c>
      <c r="B95" s="4" t="str">
        <f>"李娟娟"</f>
        <v>李娟娟</v>
      </c>
      <c r="C95" s="4" t="str">
        <f t="shared" si="13"/>
        <v xml:space="preserve">女        </v>
      </c>
      <c r="D95" s="4" t="str">
        <f t="shared" si="18"/>
        <v>汉族</v>
      </c>
      <c r="E95" s="5" t="str">
        <f>"广西师范大学漓江学院英语"</f>
        <v>广西师范大学漓江学院英语</v>
      </c>
      <c r="F95" s="5" t="str">
        <f t="shared" si="20"/>
        <v>本科学士</v>
      </c>
      <c r="G95" s="6" t="str">
        <f>"是"</f>
        <v>是</v>
      </c>
      <c r="H95" s="6" t="str">
        <f t="shared" si="15"/>
        <v>初中</v>
      </c>
      <c r="I95" s="6" t="str">
        <f t="shared" si="21"/>
        <v>204:英语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s="4" customFormat="1" ht="26.1" customHeight="1">
      <c r="A96" s="3">
        <v>94</v>
      </c>
      <c r="B96" s="4" t="str">
        <f>"姚剑萍"</f>
        <v>姚剑萍</v>
      </c>
      <c r="C96" s="4" t="str">
        <f t="shared" si="13"/>
        <v xml:space="preserve">女        </v>
      </c>
      <c r="D96" s="4" t="str">
        <f t="shared" si="18"/>
        <v>汉族</v>
      </c>
      <c r="E96" s="5" t="str">
        <f>"河池学院英语"</f>
        <v>河池学院英语</v>
      </c>
      <c r="F96" s="5" t="str">
        <f t="shared" si="20"/>
        <v>本科学士</v>
      </c>
      <c r="G96" s="6" t="str">
        <f>"是"</f>
        <v>是</v>
      </c>
      <c r="H96" s="6" t="str">
        <f t="shared" si="15"/>
        <v>初中</v>
      </c>
      <c r="I96" s="6" t="str">
        <f t="shared" si="21"/>
        <v>204:英语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s="4" customFormat="1" ht="26.1" customHeight="1">
      <c r="A97" s="3">
        <v>95</v>
      </c>
      <c r="B97" s="4" t="str">
        <f>"陈爱雪"</f>
        <v>陈爱雪</v>
      </c>
      <c r="C97" s="4" t="str">
        <f t="shared" si="13"/>
        <v xml:space="preserve">女        </v>
      </c>
      <c r="D97" s="4" t="str">
        <f t="shared" si="18"/>
        <v>汉族</v>
      </c>
      <c r="E97" s="5" t="str">
        <f>"广西民族师范学院商务英语"</f>
        <v>广西民族师范学院商务英语</v>
      </c>
      <c r="F97" s="5" t="str">
        <f t="shared" si="20"/>
        <v>本科学士</v>
      </c>
      <c r="G97" s="6" t="str">
        <f>"不是"</f>
        <v>不是</v>
      </c>
      <c r="H97" s="6" t="str">
        <f t="shared" si="15"/>
        <v>初中</v>
      </c>
      <c r="I97" s="6" t="str">
        <f t="shared" si="21"/>
        <v>204:英语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s="4" customFormat="1" ht="26.1" customHeight="1">
      <c r="A98" s="3">
        <v>96</v>
      </c>
      <c r="B98" s="4" t="str">
        <f>"陈金英"</f>
        <v>陈金英</v>
      </c>
      <c r="C98" s="4" t="str">
        <f t="shared" si="13"/>
        <v xml:space="preserve">女        </v>
      </c>
      <c r="D98" s="4" t="str">
        <f t="shared" si="18"/>
        <v>汉族</v>
      </c>
      <c r="E98" s="5" t="str">
        <f>"玉林师范学院英语"</f>
        <v>玉林师范学院英语</v>
      </c>
      <c r="F98" s="5" t="str">
        <f t="shared" si="20"/>
        <v>本科学士</v>
      </c>
      <c r="G98" s="6" t="str">
        <f>"是"</f>
        <v>是</v>
      </c>
      <c r="H98" s="6" t="str">
        <f t="shared" si="15"/>
        <v>初中</v>
      </c>
      <c r="I98" s="6" t="str">
        <f t="shared" si="21"/>
        <v>204:英语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s="4" customFormat="1" ht="26.1" customHeight="1">
      <c r="A99" s="3">
        <v>97</v>
      </c>
      <c r="B99" s="4" t="str">
        <f>"庞瑶"</f>
        <v>庞瑶</v>
      </c>
      <c r="C99" s="4" t="str">
        <f t="shared" si="13"/>
        <v xml:space="preserve">女        </v>
      </c>
      <c r="D99" s="4" t="str">
        <f t="shared" si="18"/>
        <v>汉族</v>
      </c>
      <c r="E99" s="5" t="str">
        <f>"广西外国语学院英语"</f>
        <v>广西外国语学院英语</v>
      </c>
      <c r="F99" s="5" t="str">
        <f t="shared" si="20"/>
        <v>本科学士</v>
      </c>
      <c r="G99" s="6" t="str">
        <f>"不是"</f>
        <v>不是</v>
      </c>
      <c r="H99" s="6" t="str">
        <f t="shared" si="15"/>
        <v>初中</v>
      </c>
      <c r="I99" s="6" t="str">
        <f t="shared" si="21"/>
        <v>204:英语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s="4" customFormat="1" ht="26.1" customHeight="1">
      <c r="A100" s="3">
        <v>98</v>
      </c>
      <c r="B100" s="4" t="str">
        <f>"欧燕妮"</f>
        <v>欧燕妮</v>
      </c>
      <c r="C100" s="4" t="str">
        <f t="shared" si="13"/>
        <v xml:space="preserve">女        </v>
      </c>
      <c r="D100" s="4" t="str">
        <f t="shared" si="18"/>
        <v>汉族</v>
      </c>
      <c r="E100" s="5" t="str">
        <f>"贺州学院英语"</f>
        <v>贺州学院英语</v>
      </c>
      <c r="F100" s="5" t="str">
        <f t="shared" si="20"/>
        <v>本科学士</v>
      </c>
      <c r="G100" s="6" t="str">
        <f>"是"</f>
        <v>是</v>
      </c>
      <c r="H100" s="6" t="str">
        <f t="shared" si="15"/>
        <v>初中</v>
      </c>
      <c r="I100" s="6" t="str">
        <f t="shared" si="21"/>
        <v>204:英语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s="4" customFormat="1" ht="26.1" customHeight="1">
      <c r="A101" s="3">
        <v>99</v>
      </c>
      <c r="B101" s="4" t="str">
        <f>"李海燕"</f>
        <v>李海燕</v>
      </c>
      <c r="C101" s="4" t="str">
        <f t="shared" si="13"/>
        <v xml:space="preserve">女        </v>
      </c>
      <c r="D101" s="4" t="str">
        <f t="shared" si="18"/>
        <v>汉族</v>
      </c>
      <c r="E101" s="5" t="str">
        <f>"玉林师范学院英语"</f>
        <v>玉林师范学院英语</v>
      </c>
      <c r="F101" s="5" t="str">
        <f t="shared" si="20"/>
        <v>本科学士</v>
      </c>
      <c r="G101" s="6" t="str">
        <f>"是"</f>
        <v>是</v>
      </c>
      <c r="H101" s="6" t="str">
        <f t="shared" si="15"/>
        <v>初中</v>
      </c>
      <c r="I101" s="6" t="str">
        <f t="shared" si="21"/>
        <v>204:英语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s="4" customFormat="1" ht="26.1" customHeight="1">
      <c r="A102" s="3">
        <v>100</v>
      </c>
      <c r="B102" s="4" t="str">
        <f>"黎淑溶"</f>
        <v>黎淑溶</v>
      </c>
      <c r="C102" s="4" t="str">
        <f t="shared" si="13"/>
        <v xml:space="preserve">女        </v>
      </c>
      <c r="D102" s="4" t="str">
        <f t="shared" si="18"/>
        <v>汉族</v>
      </c>
      <c r="E102" s="5" t="str">
        <f>"玉林师范学院英语"</f>
        <v>玉林师范学院英语</v>
      </c>
      <c r="F102" s="5" t="str">
        <f t="shared" si="20"/>
        <v>本科学士</v>
      </c>
      <c r="G102" s="6" t="str">
        <f>"是"</f>
        <v>是</v>
      </c>
      <c r="H102" s="6" t="str">
        <f t="shared" si="15"/>
        <v>初中</v>
      </c>
      <c r="I102" s="6" t="str">
        <f t="shared" si="21"/>
        <v>204:英语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s="4" customFormat="1" ht="26.1" customHeight="1">
      <c r="A103" s="3">
        <v>101</v>
      </c>
      <c r="B103" s="4" t="str">
        <f>"杜婷婷"</f>
        <v>杜婷婷</v>
      </c>
      <c r="C103" s="4" t="str">
        <f t="shared" si="13"/>
        <v xml:space="preserve">女        </v>
      </c>
      <c r="D103" s="4" t="str">
        <f t="shared" si="18"/>
        <v>汉族</v>
      </c>
      <c r="E103" s="5" t="str">
        <f>"贺州学院英语教育"</f>
        <v>贺州学院英语教育</v>
      </c>
      <c r="F103" s="5" t="str">
        <f t="shared" si="20"/>
        <v>本科学士</v>
      </c>
      <c r="G103" s="6" t="str">
        <f>"是"</f>
        <v>是</v>
      </c>
      <c r="H103" s="6" t="str">
        <f t="shared" si="15"/>
        <v>初中</v>
      </c>
      <c r="I103" s="6" t="str">
        <f t="shared" si="21"/>
        <v>204:英语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s="4" customFormat="1" ht="26.1" customHeight="1">
      <c r="A104" s="3">
        <v>102</v>
      </c>
      <c r="B104" s="4" t="str">
        <f>"王丹丹"</f>
        <v>王丹丹</v>
      </c>
      <c r="C104" s="4" t="str">
        <f t="shared" si="13"/>
        <v xml:space="preserve">女        </v>
      </c>
      <c r="D104" s="4" t="str">
        <f t="shared" si="18"/>
        <v>汉族</v>
      </c>
      <c r="E104" s="5" t="str">
        <f>"河池学院英语"</f>
        <v>河池学院英语</v>
      </c>
      <c r="F104" s="5" t="str">
        <f t="shared" si="20"/>
        <v>本科学士</v>
      </c>
      <c r="G104" s="6" t="str">
        <f>"是"</f>
        <v>是</v>
      </c>
      <c r="H104" s="6" t="str">
        <f t="shared" si="15"/>
        <v>初中</v>
      </c>
      <c r="I104" s="6" t="str">
        <f t="shared" si="21"/>
        <v>204:英语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s="4" customFormat="1" ht="26.1" customHeight="1">
      <c r="A105" s="3">
        <v>103</v>
      </c>
      <c r="B105" s="4" t="str">
        <f>"覃杨璇"</f>
        <v>覃杨璇</v>
      </c>
      <c r="C105" s="4" t="str">
        <f t="shared" si="13"/>
        <v xml:space="preserve">女        </v>
      </c>
      <c r="D105" s="4" t="str">
        <f t="shared" si="18"/>
        <v>汉族</v>
      </c>
      <c r="E105" s="5" t="str">
        <f>"玉林师范学院英语"</f>
        <v>玉林师范学院英语</v>
      </c>
      <c r="F105" s="5" t="str">
        <f t="shared" si="20"/>
        <v>本科学士</v>
      </c>
      <c r="G105" s="6" t="str">
        <f>"不是"</f>
        <v>不是</v>
      </c>
      <c r="H105" s="6" t="str">
        <f t="shared" si="15"/>
        <v>初中</v>
      </c>
      <c r="I105" s="6" t="str">
        <f t="shared" si="21"/>
        <v>204:英语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s="4" customFormat="1" ht="26.1" customHeight="1">
      <c r="A106" s="3">
        <v>104</v>
      </c>
      <c r="B106" s="4" t="str">
        <f>"白玉冰"</f>
        <v>白玉冰</v>
      </c>
      <c r="C106" s="4" t="str">
        <f t="shared" si="13"/>
        <v xml:space="preserve">女        </v>
      </c>
      <c r="D106" s="4" t="str">
        <f t="shared" si="18"/>
        <v>汉族</v>
      </c>
      <c r="E106" s="5" t="str">
        <f>"玉林师范学院英语"</f>
        <v>玉林师范学院英语</v>
      </c>
      <c r="F106" s="5" t="str">
        <f t="shared" si="20"/>
        <v>本科学士</v>
      </c>
      <c r="G106" s="6" t="str">
        <f>"是"</f>
        <v>是</v>
      </c>
      <c r="H106" s="6" t="str">
        <f t="shared" si="15"/>
        <v>初中</v>
      </c>
      <c r="I106" s="6" t="str">
        <f t="shared" si="21"/>
        <v>204:英语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s="4" customFormat="1" ht="26.1" customHeight="1">
      <c r="A107" s="3">
        <v>105</v>
      </c>
      <c r="B107" s="4" t="str">
        <f>"李蓉"</f>
        <v>李蓉</v>
      </c>
      <c r="C107" s="4" t="str">
        <f t="shared" si="13"/>
        <v xml:space="preserve">女        </v>
      </c>
      <c r="D107" s="4" t="str">
        <f t="shared" si="18"/>
        <v>汉族</v>
      </c>
      <c r="E107" s="5" t="str">
        <f>"广西师范大学英语"</f>
        <v>广西师范大学英语</v>
      </c>
      <c r="F107" s="5" t="str">
        <f t="shared" si="20"/>
        <v>本科学士</v>
      </c>
      <c r="G107" s="6" t="str">
        <f>"不是"</f>
        <v>不是</v>
      </c>
      <c r="H107" s="6" t="str">
        <f t="shared" si="15"/>
        <v>初中</v>
      </c>
      <c r="I107" s="6" t="str">
        <f t="shared" si="21"/>
        <v>204:英语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s="4" customFormat="1" ht="26.1" customHeight="1">
      <c r="A108" s="3">
        <v>106</v>
      </c>
      <c r="B108" s="4" t="str">
        <f>"黄明月"</f>
        <v>黄明月</v>
      </c>
      <c r="C108" s="4" t="str">
        <f t="shared" si="13"/>
        <v xml:space="preserve">女        </v>
      </c>
      <c r="D108" s="4" t="str">
        <f t="shared" si="18"/>
        <v>汉族</v>
      </c>
      <c r="E108" s="5" t="str">
        <f>"百色学院英语教育"</f>
        <v>百色学院英语教育</v>
      </c>
      <c r="F108" s="5" t="str">
        <f t="shared" si="20"/>
        <v>本科学士</v>
      </c>
      <c r="G108" s="6" t="str">
        <f>"是"</f>
        <v>是</v>
      </c>
      <c r="H108" s="6" t="str">
        <f t="shared" si="15"/>
        <v>初中</v>
      </c>
      <c r="I108" s="6" t="str">
        <f t="shared" si="21"/>
        <v>204:英语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s="4" customFormat="1" ht="26.1" customHeight="1">
      <c r="A109" s="3">
        <v>107</v>
      </c>
      <c r="B109" s="4" t="str">
        <f>"吴君丽"</f>
        <v>吴君丽</v>
      </c>
      <c r="C109" s="4" t="str">
        <f t="shared" si="13"/>
        <v xml:space="preserve">女        </v>
      </c>
      <c r="D109" s="4" t="str">
        <f t="shared" si="18"/>
        <v>汉族</v>
      </c>
      <c r="E109" s="5" t="str">
        <f>"广西民族师范学院英语教育"</f>
        <v>广西民族师范学院英语教育</v>
      </c>
      <c r="F109" s="5" t="str">
        <f t="shared" si="20"/>
        <v>本科学士</v>
      </c>
      <c r="G109" s="6" t="str">
        <f>"是"</f>
        <v>是</v>
      </c>
      <c r="H109" s="6" t="str">
        <f t="shared" si="15"/>
        <v>初中</v>
      </c>
      <c r="I109" s="6" t="str">
        <f t="shared" si="21"/>
        <v>204:英语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 s="4" customFormat="1" ht="26.1" customHeight="1">
      <c r="A110" s="3">
        <v>108</v>
      </c>
      <c r="B110" s="4" t="str">
        <f>"梁琰丽"</f>
        <v>梁琰丽</v>
      </c>
      <c r="C110" s="4" t="str">
        <f t="shared" si="13"/>
        <v xml:space="preserve">女        </v>
      </c>
      <c r="D110" s="4" t="str">
        <f t="shared" si="18"/>
        <v>汉族</v>
      </c>
      <c r="E110" s="5" t="str">
        <f>"广西师范大学漓江学院英语"</f>
        <v>广西师范大学漓江学院英语</v>
      </c>
      <c r="F110" s="5" t="str">
        <f t="shared" si="20"/>
        <v>本科学士</v>
      </c>
      <c r="G110" s="6" t="str">
        <f>"是"</f>
        <v>是</v>
      </c>
      <c r="H110" s="6" t="str">
        <f t="shared" si="15"/>
        <v>初中</v>
      </c>
      <c r="I110" s="6" t="str">
        <f t="shared" si="21"/>
        <v>204:英语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s="4" customFormat="1" ht="26.1" customHeight="1">
      <c r="A111" s="3">
        <v>109</v>
      </c>
      <c r="B111" s="4" t="str">
        <f>"梁琼"</f>
        <v>梁琼</v>
      </c>
      <c r="C111" s="4" t="str">
        <f t="shared" si="13"/>
        <v xml:space="preserve">女        </v>
      </c>
      <c r="D111" s="4" t="str">
        <f t="shared" si="18"/>
        <v>汉族</v>
      </c>
      <c r="E111" s="5" t="str">
        <f>"赣南医学院英语"</f>
        <v>赣南医学院英语</v>
      </c>
      <c r="F111" s="5" t="str">
        <f t="shared" si="20"/>
        <v>本科学士</v>
      </c>
      <c r="G111" s="6" t="str">
        <f>"不是"</f>
        <v>不是</v>
      </c>
      <c r="H111" s="6" t="str">
        <f t="shared" si="15"/>
        <v>初中</v>
      </c>
      <c r="I111" s="6" t="str">
        <f t="shared" si="21"/>
        <v>204:英语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s="4" customFormat="1" ht="26.1" customHeight="1">
      <c r="A112" s="3">
        <v>110</v>
      </c>
      <c r="B112" s="4" t="str">
        <f>"罗雯"</f>
        <v>罗雯</v>
      </c>
      <c r="C112" s="4" t="str">
        <f t="shared" si="13"/>
        <v xml:space="preserve">女        </v>
      </c>
      <c r="D112" s="4" t="str">
        <f t="shared" si="18"/>
        <v>汉族</v>
      </c>
      <c r="E112" s="5" t="str">
        <f>"玉林师范学院应用英语"</f>
        <v>玉林师范学院应用英语</v>
      </c>
      <c r="F112" s="5" t="str">
        <f t="shared" si="20"/>
        <v>本科学士</v>
      </c>
      <c r="G112" s="6" t="str">
        <f>"不是"</f>
        <v>不是</v>
      </c>
      <c r="H112" s="6" t="str">
        <f t="shared" si="15"/>
        <v>初中</v>
      </c>
      <c r="I112" s="6" t="str">
        <f t="shared" si="21"/>
        <v>204:英语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s="4" customFormat="1" ht="26.1" customHeight="1">
      <c r="A113" s="3">
        <v>111</v>
      </c>
      <c r="B113" s="4" t="str">
        <f>"黎艳凤"</f>
        <v>黎艳凤</v>
      </c>
      <c r="C113" s="4" t="str">
        <f t="shared" si="13"/>
        <v xml:space="preserve">女        </v>
      </c>
      <c r="D113" s="4" t="str">
        <f t="shared" si="18"/>
        <v>汉族</v>
      </c>
      <c r="E113" s="5" t="str">
        <f>"百色学院英语教育"</f>
        <v>百色学院英语教育</v>
      </c>
      <c r="F113" s="5" t="str">
        <f t="shared" si="20"/>
        <v>本科学士</v>
      </c>
      <c r="G113" s="6" t="str">
        <f t="shared" ref="G113:G118" si="22">"是"</f>
        <v>是</v>
      </c>
      <c r="H113" s="6" t="str">
        <f t="shared" si="15"/>
        <v>初中</v>
      </c>
      <c r="I113" s="6" t="str">
        <f t="shared" si="21"/>
        <v>204:英语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s="4" customFormat="1" ht="26.1" customHeight="1">
      <c r="A114" s="3">
        <v>112</v>
      </c>
      <c r="B114" s="4" t="str">
        <f>"刘思利"</f>
        <v>刘思利</v>
      </c>
      <c r="C114" s="4" t="str">
        <f t="shared" si="13"/>
        <v xml:space="preserve">女        </v>
      </c>
      <c r="D114" s="4" t="str">
        <f t="shared" si="18"/>
        <v>汉族</v>
      </c>
      <c r="E114" s="5" t="str">
        <f>"百色学院英语教育"</f>
        <v>百色学院英语教育</v>
      </c>
      <c r="F114" s="5" t="str">
        <f t="shared" si="20"/>
        <v>本科学士</v>
      </c>
      <c r="G114" s="6" t="str">
        <f t="shared" si="22"/>
        <v>是</v>
      </c>
      <c r="H114" s="6" t="str">
        <f t="shared" si="15"/>
        <v>初中</v>
      </c>
      <c r="I114" s="6" t="str">
        <f t="shared" si="21"/>
        <v>204:英语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s="4" customFormat="1" ht="26.1" customHeight="1">
      <c r="A115" s="3">
        <v>113</v>
      </c>
      <c r="B115" s="4" t="str">
        <f>"陈裕升"</f>
        <v>陈裕升</v>
      </c>
      <c r="C115" s="4" t="str">
        <f t="shared" si="13"/>
        <v xml:space="preserve">女        </v>
      </c>
      <c r="D115" s="4" t="str">
        <f t="shared" si="18"/>
        <v>汉族</v>
      </c>
      <c r="E115" s="5" t="str">
        <f>"广西师范学院英语"</f>
        <v>广西师范学院英语</v>
      </c>
      <c r="F115" s="5" t="str">
        <f t="shared" si="20"/>
        <v>本科学士</v>
      </c>
      <c r="G115" s="6" t="str">
        <f t="shared" si="22"/>
        <v>是</v>
      </c>
      <c r="H115" s="6" t="str">
        <f t="shared" si="15"/>
        <v>初中</v>
      </c>
      <c r="I115" s="6" t="str">
        <f t="shared" si="21"/>
        <v>204:英语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s="4" customFormat="1" ht="26.1" customHeight="1">
      <c r="A116" s="3">
        <v>114</v>
      </c>
      <c r="B116" s="4" t="str">
        <f>"罗妙君"</f>
        <v>罗妙君</v>
      </c>
      <c r="C116" s="4" t="str">
        <f t="shared" si="13"/>
        <v xml:space="preserve">女        </v>
      </c>
      <c r="D116" s="4" t="str">
        <f t="shared" si="18"/>
        <v>汉族</v>
      </c>
      <c r="E116" s="5" t="str">
        <f>"百色学院英语教育"</f>
        <v>百色学院英语教育</v>
      </c>
      <c r="F116" s="5" t="str">
        <f t="shared" si="20"/>
        <v>本科学士</v>
      </c>
      <c r="G116" s="6" t="str">
        <f t="shared" si="22"/>
        <v>是</v>
      </c>
      <c r="H116" s="6" t="str">
        <f t="shared" si="15"/>
        <v>初中</v>
      </c>
      <c r="I116" s="6" t="str">
        <f t="shared" si="21"/>
        <v>204:英语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s="4" customFormat="1" ht="26.1" customHeight="1">
      <c r="A117" s="3">
        <v>115</v>
      </c>
      <c r="B117" s="4" t="str">
        <f>"王霞"</f>
        <v>王霞</v>
      </c>
      <c r="C117" s="4" t="str">
        <f t="shared" si="13"/>
        <v xml:space="preserve">女        </v>
      </c>
      <c r="D117" s="4" t="str">
        <f>"壮族"</f>
        <v>壮族</v>
      </c>
      <c r="E117" s="5" t="str">
        <f>"广西民族师范学院英语教育"</f>
        <v>广西民族师范学院英语教育</v>
      </c>
      <c r="F117" s="5" t="str">
        <f t="shared" si="20"/>
        <v>本科学士</v>
      </c>
      <c r="G117" s="6" t="str">
        <f t="shared" si="22"/>
        <v>是</v>
      </c>
      <c r="H117" s="6" t="str">
        <f t="shared" si="15"/>
        <v>初中</v>
      </c>
      <c r="I117" s="6" t="str">
        <f t="shared" si="21"/>
        <v>204:英语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s="4" customFormat="1" ht="26.1" customHeight="1">
      <c r="A118" s="3">
        <v>116</v>
      </c>
      <c r="B118" s="4" t="str">
        <f>"黄秋婷"</f>
        <v>黄秋婷</v>
      </c>
      <c r="C118" s="4" t="str">
        <f t="shared" si="13"/>
        <v xml:space="preserve">女        </v>
      </c>
      <c r="D118" s="4" t="str">
        <f t="shared" ref="D118:D126" si="23">"汉族"</f>
        <v>汉族</v>
      </c>
      <c r="E118" s="5" t="str">
        <f>"玉林师范学院英语"</f>
        <v>玉林师范学院英语</v>
      </c>
      <c r="F118" s="5" t="str">
        <f t="shared" si="20"/>
        <v>本科学士</v>
      </c>
      <c r="G118" s="6" t="str">
        <f t="shared" si="22"/>
        <v>是</v>
      </c>
      <c r="H118" s="6" t="str">
        <f t="shared" si="15"/>
        <v>初中</v>
      </c>
      <c r="I118" s="6" t="str">
        <f t="shared" si="21"/>
        <v>204:英语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s="4" customFormat="1" ht="26.1" customHeight="1">
      <c r="A119" s="3">
        <v>117</v>
      </c>
      <c r="B119" s="4" t="str">
        <f>"杨国妮"</f>
        <v>杨国妮</v>
      </c>
      <c r="C119" s="4" t="str">
        <f t="shared" si="13"/>
        <v xml:space="preserve">女        </v>
      </c>
      <c r="D119" s="4" t="str">
        <f t="shared" si="23"/>
        <v>汉族</v>
      </c>
      <c r="E119" s="5" t="str">
        <f>"梧州学院英语"</f>
        <v>梧州学院英语</v>
      </c>
      <c r="F119" s="5" t="str">
        <f t="shared" si="20"/>
        <v>本科学士</v>
      </c>
      <c r="G119" s="6" t="str">
        <f>"不是"</f>
        <v>不是</v>
      </c>
      <c r="H119" s="6" t="str">
        <f t="shared" si="15"/>
        <v>初中</v>
      </c>
      <c r="I119" s="6" t="str">
        <f t="shared" si="21"/>
        <v>204:英语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s="4" customFormat="1" ht="26.1" customHeight="1">
      <c r="A120" s="3">
        <v>118</v>
      </c>
      <c r="B120" s="4" t="str">
        <f>"蔡希梦"</f>
        <v>蔡希梦</v>
      </c>
      <c r="C120" s="4" t="str">
        <f t="shared" si="13"/>
        <v xml:space="preserve">女        </v>
      </c>
      <c r="D120" s="4" t="str">
        <f t="shared" si="23"/>
        <v>汉族</v>
      </c>
      <c r="E120" s="5" t="str">
        <f>"玉林师范学院英语"</f>
        <v>玉林师范学院英语</v>
      </c>
      <c r="F120" s="5" t="str">
        <f t="shared" si="20"/>
        <v>本科学士</v>
      </c>
      <c r="G120" s="6" t="str">
        <f>"不是"</f>
        <v>不是</v>
      </c>
      <c r="H120" s="6" t="str">
        <f t="shared" si="15"/>
        <v>初中</v>
      </c>
      <c r="I120" s="6" t="str">
        <f t="shared" si="21"/>
        <v>204:英语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s="4" customFormat="1" ht="26.1" customHeight="1">
      <c r="A121" s="3">
        <v>119</v>
      </c>
      <c r="B121" s="4" t="str">
        <f>"牟彩菲"</f>
        <v>牟彩菲</v>
      </c>
      <c r="C121" s="4" t="str">
        <f t="shared" si="13"/>
        <v xml:space="preserve">女        </v>
      </c>
      <c r="D121" s="4" t="str">
        <f t="shared" si="23"/>
        <v>汉族</v>
      </c>
      <c r="E121" s="5" t="str">
        <f>"广西师范大学商务英语"</f>
        <v>广西师范大学商务英语</v>
      </c>
      <c r="F121" s="5" t="str">
        <f t="shared" si="20"/>
        <v>本科学士</v>
      </c>
      <c r="G121" s="6" t="str">
        <f>"不是"</f>
        <v>不是</v>
      </c>
      <c r="H121" s="6" t="str">
        <f t="shared" si="15"/>
        <v>初中</v>
      </c>
      <c r="I121" s="6" t="str">
        <f t="shared" si="21"/>
        <v>204:英语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s="4" customFormat="1" ht="26.1" customHeight="1">
      <c r="A122" s="3">
        <v>120</v>
      </c>
      <c r="B122" s="4" t="str">
        <f>"梁肇"</f>
        <v>梁肇</v>
      </c>
      <c r="C122" s="4" t="str">
        <f>"男        "</f>
        <v xml:space="preserve">男        </v>
      </c>
      <c r="D122" s="4" t="str">
        <f t="shared" si="23"/>
        <v>汉族</v>
      </c>
      <c r="E122" s="5" t="str">
        <f>"广西民族师范学院体育教育"</f>
        <v>广西民族师范学院体育教育</v>
      </c>
      <c r="F122" s="5" t="str">
        <f t="shared" si="20"/>
        <v>本科学士</v>
      </c>
      <c r="G122" s="6" t="str">
        <f>"是"</f>
        <v>是</v>
      </c>
      <c r="H122" s="6" t="str">
        <f t="shared" si="15"/>
        <v>初中</v>
      </c>
      <c r="I122" s="6" t="str">
        <f t="shared" ref="I122:I135" si="24">"212:体育"</f>
        <v>212:体育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s="4" customFormat="1" ht="26.1" customHeight="1">
      <c r="A123" s="3">
        <v>121</v>
      </c>
      <c r="B123" s="4" t="str">
        <f>"黄克林"</f>
        <v>黄克林</v>
      </c>
      <c r="C123" s="4" t="str">
        <f>"男        "</f>
        <v xml:space="preserve">男        </v>
      </c>
      <c r="D123" s="4" t="str">
        <f t="shared" si="23"/>
        <v>汉族</v>
      </c>
      <c r="E123" s="5" t="str">
        <f>"玉林师范学院体育教育"</f>
        <v>玉林师范学院体育教育</v>
      </c>
      <c r="F123" s="5" t="str">
        <f t="shared" si="20"/>
        <v>本科学士</v>
      </c>
      <c r="G123" s="6" t="str">
        <f>"是"</f>
        <v>是</v>
      </c>
      <c r="H123" s="6" t="str">
        <f t="shared" si="15"/>
        <v>初中</v>
      </c>
      <c r="I123" s="6" t="str">
        <f t="shared" si="24"/>
        <v>212:体育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s="4" customFormat="1" ht="26.1" customHeight="1">
      <c r="A124" s="3">
        <v>122</v>
      </c>
      <c r="B124" s="4" t="str">
        <f>"刘付连花"</f>
        <v>刘付连花</v>
      </c>
      <c r="C124" s="4" t="str">
        <f>"女        "</f>
        <v xml:space="preserve">女        </v>
      </c>
      <c r="D124" s="4" t="str">
        <f t="shared" si="23"/>
        <v>汉族</v>
      </c>
      <c r="E124" s="5" t="str">
        <f>"玉林师范学院体育教育"</f>
        <v>玉林师范学院体育教育</v>
      </c>
      <c r="F124" s="5" t="str">
        <f t="shared" si="20"/>
        <v>本科学士</v>
      </c>
      <c r="G124" s="6" t="str">
        <f>"是"</f>
        <v>是</v>
      </c>
      <c r="H124" s="6" t="str">
        <f t="shared" si="15"/>
        <v>初中</v>
      </c>
      <c r="I124" s="6" t="str">
        <f t="shared" si="24"/>
        <v>212:体育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s="4" customFormat="1" ht="26.1" customHeight="1">
      <c r="A125" s="3">
        <v>123</v>
      </c>
      <c r="B125" s="4" t="str">
        <f>"刘婷"</f>
        <v>刘婷</v>
      </c>
      <c r="C125" s="4" t="str">
        <f>"女        "</f>
        <v xml:space="preserve">女        </v>
      </c>
      <c r="D125" s="4" t="str">
        <f t="shared" si="23"/>
        <v>汉族</v>
      </c>
      <c r="E125" s="5" t="str">
        <f>"广西师范大学社会体育指导与管理"</f>
        <v>广西师范大学社会体育指导与管理</v>
      </c>
      <c r="F125" s="5" t="str">
        <f t="shared" si="20"/>
        <v>本科学士</v>
      </c>
      <c r="G125" s="6" t="str">
        <f>"不是"</f>
        <v>不是</v>
      </c>
      <c r="H125" s="6" t="str">
        <f t="shared" si="15"/>
        <v>初中</v>
      </c>
      <c r="I125" s="6" t="str">
        <f t="shared" si="24"/>
        <v>212:体育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s="4" customFormat="1" ht="26.1" customHeight="1">
      <c r="A126" s="3">
        <v>124</v>
      </c>
      <c r="B126" s="4" t="str">
        <f>"谢日成"</f>
        <v>谢日成</v>
      </c>
      <c r="C126" s="4" t="str">
        <f>"男        "</f>
        <v xml:space="preserve">男        </v>
      </c>
      <c r="D126" s="4" t="str">
        <f t="shared" si="23"/>
        <v>汉族</v>
      </c>
      <c r="E126" s="5" t="str">
        <f>"广西师范大学漓江学院体育教育"</f>
        <v>广西师范大学漓江学院体育教育</v>
      </c>
      <c r="F126" s="5" t="str">
        <f t="shared" si="20"/>
        <v>本科学士</v>
      </c>
      <c r="G126" s="6" t="str">
        <f>"是"</f>
        <v>是</v>
      </c>
      <c r="H126" s="6" t="str">
        <f t="shared" si="15"/>
        <v>初中</v>
      </c>
      <c r="I126" s="6" t="str">
        <f t="shared" si="24"/>
        <v>212:体育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s="4" customFormat="1" ht="26.1" customHeight="1">
      <c r="A127" s="3">
        <v>125</v>
      </c>
      <c r="B127" s="4" t="str">
        <f>"温海华"</f>
        <v>温海华</v>
      </c>
      <c r="C127" s="4" t="str">
        <f>"女        "</f>
        <v xml:space="preserve">女        </v>
      </c>
      <c r="D127" s="4" t="str">
        <f>"壮族"</f>
        <v>壮族</v>
      </c>
      <c r="E127" s="5" t="str">
        <f>"玉林师范学院体育教育"</f>
        <v>玉林师范学院体育教育</v>
      </c>
      <c r="F127" s="5" t="str">
        <f t="shared" si="20"/>
        <v>本科学士</v>
      </c>
      <c r="G127" s="6" t="str">
        <f>"是"</f>
        <v>是</v>
      </c>
      <c r="H127" s="6" t="str">
        <f t="shared" si="15"/>
        <v>初中</v>
      </c>
      <c r="I127" s="6" t="str">
        <f t="shared" si="24"/>
        <v>212:体育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s="4" customFormat="1" ht="26.1" customHeight="1">
      <c r="A128" s="3">
        <v>126</v>
      </c>
      <c r="B128" s="4" t="str">
        <f>"梁远华"</f>
        <v>梁远华</v>
      </c>
      <c r="C128" s="4" t="str">
        <f>"女        "</f>
        <v xml:space="preserve">女        </v>
      </c>
      <c r="D128" s="4" t="str">
        <f>"汉族"</f>
        <v>汉族</v>
      </c>
      <c r="E128" s="5" t="str">
        <f>"西华大学体育教育"</f>
        <v>西华大学体育教育</v>
      </c>
      <c r="F128" s="5" t="str">
        <f t="shared" si="20"/>
        <v>本科学士</v>
      </c>
      <c r="G128" s="6" t="str">
        <f>"是"</f>
        <v>是</v>
      </c>
      <c r="H128" s="6" t="str">
        <f t="shared" si="15"/>
        <v>初中</v>
      </c>
      <c r="I128" s="6" t="str">
        <f t="shared" si="24"/>
        <v>212:体育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s="4" customFormat="1" ht="26.1" customHeight="1">
      <c r="A129" s="3">
        <v>127</v>
      </c>
      <c r="B129" s="4" t="str">
        <f>"蓝湘玉"</f>
        <v>蓝湘玉</v>
      </c>
      <c r="C129" s="4" t="str">
        <f>"女        "</f>
        <v xml:space="preserve">女        </v>
      </c>
      <c r="D129" s="4" t="str">
        <f>"瑶族"</f>
        <v>瑶族</v>
      </c>
      <c r="E129" s="5" t="str">
        <f>"玉林师范学院体育教育"</f>
        <v>玉林师范学院体育教育</v>
      </c>
      <c r="F129" s="5" t="str">
        <f t="shared" si="20"/>
        <v>本科学士</v>
      </c>
      <c r="G129" s="6" t="str">
        <f>"是"</f>
        <v>是</v>
      </c>
      <c r="H129" s="6" t="str">
        <f t="shared" si="15"/>
        <v>初中</v>
      </c>
      <c r="I129" s="6" t="str">
        <f t="shared" si="24"/>
        <v>212:体育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s="4" customFormat="1" ht="26.1" customHeight="1">
      <c r="A130" s="3">
        <v>128</v>
      </c>
      <c r="B130" s="4" t="str">
        <f>"陈俊成"</f>
        <v>陈俊成</v>
      </c>
      <c r="C130" s="4" t="str">
        <f>"男        "</f>
        <v xml:space="preserve">男        </v>
      </c>
      <c r="D130" s="4" t="str">
        <f t="shared" ref="D130:D169" si="25">"汉族"</f>
        <v>汉族</v>
      </c>
      <c r="E130" s="5" t="str">
        <f>"广西民族大学体育教育"</f>
        <v>广西民族大学体育教育</v>
      </c>
      <c r="F130" s="5" t="str">
        <f t="shared" si="20"/>
        <v>本科学士</v>
      </c>
      <c r="G130" s="6" t="str">
        <f>"不是"</f>
        <v>不是</v>
      </c>
      <c r="H130" s="6" t="str">
        <f t="shared" si="15"/>
        <v>初中</v>
      </c>
      <c r="I130" s="6" t="str">
        <f t="shared" si="24"/>
        <v>212:体育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s="4" customFormat="1" ht="26.1" customHeight="1">
      <c r="A131" s="3">
        <v>129</v>
      </c>
      <c r="B131" s="4" t="str">
        <f>"李光夫"</f>
        <v>李光夫</v>
      </c>
      <c r="C131" s="4" t="str">
        <f>"男        "</f>
        <v xml:space="preserve">男        </v>
      </c>
      <c r="D131" s="4" t="str">
        <f t="shared" si="25"/>
        <v>汉族</v>
      </c>
      <c r="E131" s="5" t="str">
        <f>"百色学院体育教育"</f>
        <v>百色学院体育教育</v>
      </c>
      <c r="F131" s="5" t="str">
        <f t="shared" si="20"/>
        <v>本科学士</v>
      </c>
      <c r="G131" s="6" t="str">
        <f t="shared" ref="G131:G149" si="26">"是"</f>
        <v>是</v>
      </c>
      <c r="H131" s="6" t="str">
        <f t="shared" ref="H131:H135" si="27">"初中"</f>
        <v>初中</v>
      </c>
      <c r="I131" s="6" t="str">
        <f t="shared" si="24"/>
        <v>212:体育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s="4" customFormat="1" ht="26.1" customHeight="1">
      <c r="A132" s="3">
        <v>130</v>
      </c>
      <c r="B132" s="4" t="str">
        <f>"庞荣智"</f>
        <v>庞荣智</v>
      </c>
      <c r="C132" s="4" t="str">
        <f>"男        "</f>
        <v xml:space="preserve">男        </v>
      </c>
      <c r="D132" s="4" t="str">
        <f t="shared" si="25"/>
        <v>汉族</v>
      </c>
      <c r="E132" s="5" t="str">
        <f>"玉林师范学院体育教育"</f>
        <v>玉林师范学院体育教育</v>
      </c>
      <c r="F132" s="5" t="str">
        <f t="shared" si="20"/>
        <v>本科学士</v>
      </c>
      <c r="G132" s="6" t="str">
        <f t="shared" si="26"/>
        <v>是</v>
      </c>
      <c r="H132" s="6" t="str">
        <f t="shared" si="27"/>
        <v>初中</v>
      </c>
      <c r="I132" s="6" t="str">
        <f t="shared" si="24"/>
        <v>212:体育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s="4" customFormat="1" ht="26.1" customHeight="1">
      <c r="A133" s="3">
        <v>131</v>
      </c>
      <c r="B133" s="4" t="str">
        <f>"李丽萍"</f>
        <v>李丽萍</v>
      </c>
      <c r="C133" s="4" t="str">
        <f>"女        "</f>
        <v xml:space="preserve">女        </v>
      </c>
      <c r="D133" s="4" t="str">
        <f t="shared" si="25"/>
        <v>汉族</v>
      </c>
      <c r="E133" s="5" t="str">
        <f>"玉林师范学院体育教育"</f>
        <v>玉林师范学院体育教育</v>
      </c>
      <c r="F133" s="5" t="str">
        <f t="shared" si="20"/>
        <v>本科学士</v>
      </c>
      <c r="G133" s="6" t="str">
        <f t="shared" si="26"/>
        <v>是</v>
      </c>
      <c r="H133" s="6" t="str">
        <f t="shared" si="27"/>
        <v>初中</v>
      </c>
      <c r="I133" s="6" t="str">
        <f t="shared" si="24"/>
        <v>212:体育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s="4" customFormat="1" ht="26.1" customHeight="1">
      <c r="A134" s="3">
        <v>132</v>
      </c>
      <c r="B134" s="4" t="str">
        <f>"何东尧"</f>
        <v>何东尧</v>
      </c>
      <c r="C134" s="4" t="str">
        <f>"男        "</f>
        <v xml:space="preserve">男        </v>
      </c>
      <c r="D134" s="4" t="str">
        <f t="shared" si="25"/>
        <v>汉族</v>
      </c>
      <c r="E134" s="5" t="str">
        <f>"玉林师范学院体育教育"</f>
        <v>玉林师范学院体育教育</v>
      </c>
      <c r="F134" s="5" t="str">
        <f t="shared" si="20"/>
        <v>本科学士</v>
      </c>
      <c r="G134" s="6" t="str">
        <f t="shared" si="26"/>
        <v>是</v>
      </c>
      <c r="H134" s="6" t="str">
        <f t="shared" si="27"/>
        <v>初中</v>
      </c>
      <c r="I134" s="6" t="str">
        <f t="shared" si="24"/>
        <v>212:体育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s="4" customFormat="1" ht="26.1" customHeight="1">
      <c r="A135" s="3">
        <v>133</v>
      </c>
      <c r="B135" s="4" t="str">
        <f>"凌俊"</f>
        <v>凌俊</v>
      </c>
      <c r="C135" s="4" t="str">
        <f>"男        "</f>
        <v xml:space="preserve">男        </v>
      </c>
      <c r="D135" s="4" t="str">
        <f t="shared" si="25"/>
        <v>汉族</v>
      </c>
      <c r="E135" s="5" t="str">
        <f>"哈尔滨师范大学体育教育"</f>
        <v>哈尔滨师范大学体育教育</v>
      </c>
      <c r="F135" s="5" t="str">
        <f t="shared" si="20"/>
        <v>本科学士</v>
      </c>
      <c r="G135" s="6" t="str">
        <f t="shared" si="26"/>
        <v>是</v>
      </c>
      <c r="H135" s="6" t="str">
        <f t="shared" si="27"/>
        <v>初中</v>
      </c>
      <c r="I135" s="6" t="str">
        <f t="shared" si="24"/>
        <v>212:体育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s="4" customFormat="1" ht="26.1" customHeight="1">
      <c r="A136" s="3">
        <v>134</v>
      </c>
      <c r="B136" s="4" t="str">
        <f>"丘飘燕"</f>
        <v>丘飘燕</v>
      </c>
      <c r="C136" s="4" t="str">
        <f t="shared" ref="C136:C186" si="28">"女        "</f>
        <v xml:space="preserve">女        </v>
      </c>
      <c r="D136" s="4" t="str">
        <f t="shared" si="25"/>
        <v>汉族</v>
      </c>
      <c r="E136" s="5" t="str">
        <f>"玉林师范学院小学教育"</f>
        <v>玉林师范学院小学教育</v>
      </c>
      <c r="F136" s="5" t="str">
        <f t="shared" si="20"/>
        <v>本科学士</v>
      </c>
      <c r="G136" s="6" t="str">
        <f t="shared" si="26"/>
        <v>是</v>
      </c>
      <c r="H136" s="6" t="str">
        <f t="shared" ref="H136:H200" si="29">"小学"</f>
        <v>小学</v>
      </c>
      <c r="I136" s="6" t="str">
        <f t="shared" ref="I136:I200" si="30">"102:语文"</f>
        <v>102:语文</v>
      </c>
      <c r="J136" s="4" t="s">
        <v>8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s="4" customFormat="1" ht="26.1" customHeight="1">
      <c r="A137" s="3">
        <v>135</v>
      </c>
      <c r="B137" s="4" t="str">
        <f>"陈珊珊"</f>
        <v>陈珊珊</v>
      </c>
      <c r="C137" s="4" t="str">
        <f t="shared" si="28"/>
        <v xml:space="preserve">女        </v>
      </c>
      <c r="D137" s="4" t="str">
        <f t="shared" si="25"/>
        <v>汉族</v>
      </c>
      <c r="E137" s="5" t="str">
        <f>"遵义师范学院小学教育"</f>
        <v>遵义师范学院小学教育</v>
      </c>
      <c r="F137" s="5" t="str">
        <f t="shared" si="20"/>
        <v>本科学士</v>
      </c>
      <c r="G137" s="6" t="str">
        <f t="shared" si="26"/>
        <v>是</v>
      </c>
      <c r="H137" s="6" t="str">
        <f t="shared" si="29"/>
        <v>小学</v>
      </c>
      <c r="I137" s="6" t="str">
        <f t="shared" si="30"/>
        <v>102:语文</v>
      </c>
      <c r="J137" s="4" t="s">
        <v>8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s="4" customFormat="1" ht="26.1" customHeight="1">
      <c r="A138" s="3">
        <v>136</v>
      </c>
      <c r="B138" s="4" t="str">
        <f>"李碧霞"</f>
        <v>李碧霞</v>
      </c>
      <c r="C138" s="4" t="str">
        <f t="shared" si="28"/>
        <v xml:space="preserve">女        </v>
      </c>
      <c r="D138" s="4" t="str">
        <f t="shared" si="25"/>
        <v>汉族</v>
      </c>
      <c r="E138" s="5" t="str">
        <f>"广西科技师范学院语文教育"</f>
        <v>广西科技师范学院语文教育</v>
      </c>
      <c r="F138" s="5" t="str">
        <f>"专科学士"</f>
        <v>专科学士</v>
      </c>
      <c r="G138" s="6" t="str">
        <f t="shared" si="26"/>
        <v>是</v>
      </c>
      <c r="H138" s="6" t="str">
        <f t="shared" si="29"/>
        <v>小学</v>
      </c>
      <c r="I138" s="6" t="str">
        <f t="shared" si="30"/>
        <v>102:语文</v>
      </c>
      <c r="J138" s="4" t="s">
        <v>8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s="4" customFormat="1" ht="26.1" customHeight="1">
      <c r="A139" s="3">
        <v>137</v>
      </c>
      <c r="B139" s="4" t="str">
        <f>"吴晓玲"</f>
        <v>吴晓玲</v>
      </c>
      <c r="C139" s="4" t="str">
        <f t="shared" si="28"/>
        <v xml:space="preserve">女        </v>
      </c>
      <c r="D139" s="4" t="str">
        <f t="shared" si="25"/>
        <v>汉族</v>
      </c>
      <c r="E139" s="5" t="str">
        <f>"桂林师范高等专科学校汉语"</f>
        <v>桂林师范高等专科学校汉语</v>
      </c>
      <c r="F139" s="5" t="str">
        <f>"专科无学位"</f>
        <v>专科无学位</v>
      </c>
      <c r="G139" s="6" t="str">
        <f t="shared" si="26"/>
        <v>是</v>
      </c>
      <c r="H139" s="6" t="str">
        <f t="shared" si="29"/>
        <v>小学</v>
      </c>
      <c r="I139" s="6" t="str">
        <f t="shared" si="30"/>
        <v>102:语文</v>
      </c>
      <c r="J139" s="4" t="s">
        <v>8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s="4" customFormat="1" ht="26.1" customHeight="1">
      <c r="A140" s="3">
        <v>138</v>
      </c>
      <c r="B140" s="4" t="str">
        <f>"李思华"</f>
        <v>李思华</v>
      </c>
      <c r="C140" s="4" t="str">
        <f t="shared" si="28"/>
        <v xml:space="preserve">女        </v>
      </c>
      <c r="D140" s="4" t="str">
        <f t="shared" si="25"/>
        <v>汉族</v>
      </c>
      <c r="E140" s="5" t="str">
        <f>"桂林师范高等专科学校语文教育"</f>
        <v>桂林师范高等专科学校语文教育</v>
      </c>
      <c r="F140" s="5" t="str">
        <f>"专科无学位"</f>
        <v>专科无学位</v>
      </c>
      <c r="G140" s="6" t="str">
        <f t="shared" si="26"/>
        <v>是</v>
      </c>
      <c r="H140" s="6" t="str">
        <f t="shared" si="29"/>
        <v>小学</v>
      </c>
      <c r="I140" s="6" t="str">
        <f t="shared" si="30"/>
        <v>102:语文</v>
      </c>
      <c r="J140" s="4" t="s">
        <v>8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s="4" customFormat="1" ht="26.1" customHeight="1">
      <c r="A141" s="3">
        <v>139</v>
      </c>
      <c r="B141" s="4" t="str">
        <f>"李燕凤"</f>
        <v>李燕凤</v>
      </c>
      <c r="C141" s="4" t="str">
        <f t="shared" si="28"/>
        <v xml:space="preserve">女        </v>
      </c>
      <c r="D141" s="4" t="str">
        <f t="shared" si="25"/>
        <v>汉族</v>
      </c>
      <c r="E141" s="5" t="str">
        <f>"广西教育学院初等教育语文方向"</f>
        <v>广西教育学院初等教育语文方向</v>
      </c>
      <c r="F141" s="5" t="str">
        <f>"专科无学位"</f>
        <v>专科无学位</v>
      </c>
      <c r="G141" s="6" t="str">
        <f t="shared" si="26"/>
        <v>是</v>
      </c>
      <c r="H141" s="6" t="str">
        <f t="shared" si="29"/>
        <v>小学</v>
      </c>
      <c r="I141" s="6" t="str">
        <f t="shared" si="30"/>
        <v>102:语文</v>
      </c>
      <c r="J141" s="4" t="s">
        <v>8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s="4" customFormat="1" ht="26.1" customHeight="1">
      <c r="A142" s="3">
        <v>140</v>
      </c>
      <c r="B142" s="4" t="str">
        <f>"黄利娜"</f>
        <v>黄利娜</v>
      </c>
      <c r="C142" s="4" t="str">
        <f t="shared" si="28"/>
        <v xml:space="preserve">女        </v>
      </c>
      <c r="D142" s="4" t="str">
        <f t="shared" si="25"/>
        <v>汉族</v>
      </c>
      <c r="E142" s="5" t="str">
        <f>"百色学院学前教育"</f>
        <v>百色学院学前教育</v>
      </c>
      <c r="F142" s="5" t="str">
        <f>"专科无学位"</f>
        <v>专科无学位</v>
      </c>
      <c r="G142" s="6" t="str">
        <f t="shared" si="26"/>
        <v>是</v>
      </c>
      <c r="H142" s="6" t="str">
        <f t="shared" si="29"/>
        <v>小学</v>
      </c>
      <c r="I142" s="6" t="str">
        <f t="shared" si="30"/>
        <v>102:语文</v>
      </c>
      <c r="J142" s="4" t="s">
        <v>8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s="4" customFormat="1" ht="26.1" customHeight="1">
      <c r="A143" s="3">
        <v>141</v>
      </c>
      <c r="B143" s="4" t="str">
        <f>"庞程云"</f>
        <v>庞程云</v>
      </c>
      <c r="C143" s="4" t="str">
        <f t="shared" si="28"/>
        <v xml:space="preserve">女        </v>
      </c>
      <c r="D143" s="4" t="str">
        <f t="shared" si="25"/>
        <v>汉族</v>
      </c>
      <c r="E143" s="5" t="str">
        <f>"贺州学院小学教育"</f>
        <v>贺州学院小学教育</v>
      </c>
      <c r="F143" s="5" t="str">
        <f>"本科学士"</f>
        <v>本科学士</v>
      </c>
      <c r="G143" s="6" t="str">
        <f t="shared" si="26"/>
        <v>是</v>
      </c>
      <c r="H143" s="6" t="str">
        <f t="shared" si="29"/>
        <v>小学</v>
      </c>
      <c r="I143" s="6" t="str">
        <f t="shared" si="30"/>
        <v>102:语文</v>
      </c>
      <c r="J143" s="4" t="s">
        <v>8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s="4" customFormat="1" ht="26.1" customHeight="1">
      <c r="A144" s="3">
        <v>142</v>
      </c>
      <c r="B144" s="4" t="str">
        <f>"唐岚岚"</f>
        <v>唐岚岚</v>
      </c>
      <c r="C144" s="4" t="str">
        <f t="shared" si="28"/>
        <v xml:space="preserve">女        </v>
      </c>
      <c r="D144" s="4" t="str">
        <f t="shared" si="25"/>
        <v>汉族</v>
      </c>
      <c r="E144" s="5" t="str">
        <f>"广西师范学院师园学院小学教育"</f>
        <v>广西师范学院师园学院小学教育</v>
      </c>
      <c r="F144" s="5" t="str">
        <f>"本科学士"</f>
        <v>本科学士</v>
      </c>
      <c r="G144" s="6" t="str">
        <f t="shared" si="26"/>
        <v>是</v>
      </c>
      <c r="H144" s="6" t="str">
        <f t="shared" si="29"/>
        <v>小学</v>
      </c>
      <c r="I144" s="6" t="str">
        <f t="shared" si="30"/>
        <v>102:语文</v>
      </c>
      <c r="J144" s="4" t="s">
        <v>8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s="4" customFormat="1" ht="26.1" customHeight="1">
      <c r="A145" s="3">
        <v>143</v>
      </c>
      <c r="B145" s="4" t="str">
        <f>"何德清"</f>
        <v>何德清</v>
      </c>
      <c r="C145" s="4" t="str">
        <f t="shared" si="28"/>
        <v xml:space="preserve">女        </v>
      </c>
      <c r="D145" s="4" t="str">
        <f t="shared" si="25"/>
        <v>汉族</v>
      </c>
      <c r="E145" s="5" t="str">
        <f>"广西教育学院汉语"</f>
        <v>广西教育学院汉语</v>
      </c>
      <c r="F145" s="5" t="str">
        <f>"专科无学位"</f>
        <v>专科无学位</v>
      </c>
      <c r="G145" s="6" t="str">
        <f t="shared" si="26"/>
        <v>是</v>
      </c>
      <c r="H145" s="6" t="str">
        <f t="shared" si="29"/>
        <v>小学</v>
      </c>
      <c r="I145" s="6" t="str">
        <f t="shared" si="30"/>
        <v>102:语文</v>
      </c>
      <c r="J145" s="4" t="s">
        <v>8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s="4" customFormat="1" ht="26.1" customHeight="1">
      <c r="A146" s="3">
        <v>144</v>
      </c>
      <c r="B146" s="4" t="str">
        <f>"廖礼敏"</f>
        <v>廖礼敏</v>
      </c>
      <c r="C146" s="4" t="str">
        <f t="shared" si="28"/>
        <v xml:space="preserve">女        </v>
      </c>
      <c r="D146" s="4" t="str">
        <f t="shared" si="25"/>
        <v>汉族</v>
      </c>
      <c r="E146" s="5" t="str">
        <f>"广西玉林师范学院汉语言文学"</f>
        <v>广西玉林师范学院汉语言文学</v>
      </c>
      <c r="F146" s="5" t="str">
        <f>"本科学士"</f>
        <v>本科学士</v>
      </c>
      <c r="G146" s="6" t="str">
        <f t="shared" si="26"/>
        <v>是</v>
      </c>
      <c r="H146" s="6" t="str">
        <f t="shared" si="29"/>
        <v>小学</v>
      </c>
      <c r="I146" s="6" t="str">
        <f t="shared" si="30"/>
        <v>102:语文</v>
      </c>
      <c r="J146" s="4" t="s">
        <v>8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s="4" customFormat="1" ht="26.1" customHeight="1">
      <c r="A147" s="3">
        <v>145</v>
      </c>
      <c r="B147" s="4" t="str">
        <f>"梁玮"</f>
        <v>梁玮</v>
      </c>
      <c r="C147" s="4" t="str">
        <f t="shared" si="28"/>
        <v xml:space="preserve">女        </v>
      </c>
      <c r="D147" s="4" t="str">
        <f t="shared" si="25"/>
        <v>汉族</v>
      </c>
      <c r="E147" s="5" t="str">
        <f>"广西幼儿师范高等专科学校语文教育"</f>
        <v>广西幼儿师范高等专科学校语文教育</v>
      </c>
      <c r="F147" s="5" t="str">
        <f>"专科无学位"</f>
        <v>专科无学位</v>
      </c>
      <c r="G147" s="6" t="str">
        <f t="shared" si="26"/>
        <v>是</v>
      </c>
      <c r="H147" s="6" t="str">
        <f t="shared" si="29"/>
        <v>小学</v>
      </c>
      <c r="I147" s="6" t="str">
        <f t="shared" si="30"/>
        <v>102:语文</v>
      </c>
      <c r="J147" s="4" t="s">
        <v>8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s="4" customFormat="1" ht="26.1" customHeight="1">
      <c r="A148" s="3">
        <v>146</v>
      </c>
      <c r="B148" s="4" t="str">
        <f>"周小雁"</f>
        <v>周小雁</v>
      </c>
      <c r="C148" s="4" t="str">
        <f t="shared" si="28"/>
        <v xml:space="preserve">女        </v>
      </c>
      <c r="D148" s="4" t="str">
        <f t="shared" si="25"/>
        <v>汉族</v>
      </c>
      <c r="E148" s="5" t="str">
        <f>"贺州学院小学教育"</f>
        <v>贺州学院小学教育</v>
      </c>
      <c r="F148" s="5" t="str">
        <f>"本科学士"</f>
        <v>本科学士</v>
      </c>
      <c r="G148" s="6" t="str">
        <f t="shared" si="26"/>
        <v>是</v>
      </c>
      <c r="H148" s="6" t="str">
        <f t="shared" si="29"/>
        <v>小学</v>
      </c>
      <c r="I148" s="6" t="str">
        <f t="shared" si="30"/>
        <v>102:语文</v>
      </c>
      <c r="J148" s="4" t="s">
        <v>8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s="4" customFormat="1" ht="26.1" customHeight="1">
      <c r="A149" s="3">
        <v>147</v>
      </c>
      <c r="B149" s="4" t="str">
        <f>"张馨文"</f>
        <v>张馨文</v>
      </c>
      <c r="C149" s="4" t="str">
        <f t="shared" si="28"/>
        <v xml:space="preserve">女        </v>
      </c>
      <c r="D149" s="4" t="str">
        <f t="shared" si="25"/>
        <v>汉族</v>
      </c>
      <c r="E149" s="5" t="str">
        <f>"广西师范学院师园学院汉语言文学"</f>
        <v>广西师范学院师园学院汉语言文学</v>
      </c>
      <c r="F149" s="5" t="str">
        <f>"本科学士"</f>
        <v>本科学士</v>
      </c>
      <c r="G149" s="6" t="str">
        <f t="shared" si="26"/>
        <v>是</v>
      </c>
      <c r="H149" s="6" t="str">
        <f t="shared" si="29"/>
        <v>小学</v>
      </c>
      <c r="I149" s="6" t="str">
        <f t="shared" si="30"/>
        <v>102:语文</v>
      </c>
      <c r="J149" s="4" t="s">
        <v>8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s="4" customFormat="1" ht="26.1" customHeight="1">
      <c r="A150" s="3">
        <v>148</v>
      </c>
      <c r="B150" s="4" t="str">
        <f>"吕美虹"</f>
        <v>吕美虹</v>
      </c>
      <c r="C150" s="4" t="str">
        <f t="shared" si="28"/>
        <v xml:space="preserve">女        </v>
      </c>
      <c r="D150" s="4" t="str">
        <f t="shared" si="25"/>
        <v>汉族</v>
      </c>
      <c r="E150" s="5" t="str">
        <f>"广西玉林师范学院对外汉语"</f>
        <v>广西玉林师范学院对外汉语</v>
      </c>
      <c r="F150" s="5" t="str">
        <f>"本科学士"</f>
        <v>本科学士</v>
      </c>
      <c r="G150" s="6" t="str">
        <f>"不是"</f>
        <v>不是</v>
      </c>
      <c r="H150" s="6" t="str">
        <f t="shared" si="29"/>
        <v>小学</v>
      </c>
      <c r="I150" s="6" t="str">
        <f t="shared" si="30"/>
        <v>102:语文</v>
      </c>
      <c r="J150" s="4" t="s">
        <v>8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s="4" customFormat="1" ht="26.1" customHeight="1">
      <c r="A151" s="3">
        <v>149</v>
      </c>
      <c r="B151" s="4" t="str">
        <f>"梁锐"</f>
        <v>梁锐</v>
      </c>
      <c r="C151" s="4" t="str">
        <f t="shared" si="28"/>
        <v xml:space="preserve">女        </v>
      </c>
      <c r="D151" s="4" t="str">
        <f t="shared" si="25"/>
        <v>汉族</v>
      </c>
      <c r="E151" s="5" t="str">
        <f>"广西教育学院初等教育"</f>
        <v>广西教育学院初等教育</v>
      </c>
      <c r="F151" s="5" t="str">
        <f>"专科无学位"</f>
        <v>专科无学位</v>
      </c>
      <c r="G151" s="6" t="str">
        <f>"是"</f>
        <v>是</v>
      </c>
      <c r="H151" s="6" t="str">
        <f t="shared" si="29"/>
        <v>小学</v>
      </c>
      <c r="I151" s="6" t="str">
        <f t="shared" si="30"/>
        <v>102:语文</v>
      </c>
      <c r="J151" s="4" t="s">
        <v>8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s="4" customFormat="1" ht="26.1" customHeight="1">
      <c r="A152" s="3">
        <v>150</v>
      </c>
      <c r="B152" s="4" t="str">
        <f>"牟雅珊"</f>
        <v>牟雅珊</v>
      </c>
      <c r="C152" s="4" t="str">
        <f t="shared" si="28"/>
        <v xml:space="preserve">女        </v>
      </c>
      <c r="D152" s="4" t="str">
        <f t="shared" si="25"/>
        <v>汉族</v>
      </c>
      <c r="E152" s="5" t="str">
        <f>"广西大学泰语"</f>
        <v>广西大学泰语</v>
      </c>
      <c r="F152" s="5" t="str">
        <f>"本科学士"</f>
        <v>本科学士</v>
      </c>
      <c r="G152" s="6" t="str">
        <f>"不是"</f>
        <v>不是</v>
      </c>
      <c r="H152" s="6" t="str">
        <f t="shared" si="29"/>
        <v>小学</v>
      </c>
      <c r="I152" s="6" t="str">
        <f t="shared" si="30"/>
        <v>102:语文</v>
      </c>
      <c r="J152" s="4" t="s">
        <v>8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s="4" customFormat="1" ht="26.1" customHeight="1">
      <c r="A153" s="3">
        <v>151</v>
      </c>
      <c r="B153" s="4" t="str">
        <f>"卢秋宇"</f>
        <v>卢秋宇</v>
      </c>
      <c r="C153" s="4" t="str">
        <f t="shared" si="28"/>
        <v xml:space="preserve">女        </v>
      </c>
      <c r="D153" s="4" t="str">
        <f t="shared" si="25"/>
        <v>汉族</v>
      </c>
      <c r="E153" s="5" t="str">
        <f>"洛阳师范学院电子商务"</f>
        <v>洛阳师范学院电子商务</v>
      </c>
      <c r="F153" s="5" t="str">
        <f>"本科学士"</f>
        <v>本科学士</v>
      </c>
      <c r="G153" s="6" t="str">
        <f>"不是"</f>
        <v>不是</v>
      </c>
      <c r="H153" s="6" t="str">
        <f t="shared" si="29"/>
        <v>小学</v>
      </c>
      <c r="I153" s="6" t="str">
        <f t="shared" si="30"/>
        <v>102:语文</v>
      </c>
      <c r="J153" s="4" t="s">
        <v>8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s="4" customFormat="1" ht="26.1" customHeight="1">
      <c r="A154" s="3">
        <v>152</v>
      </c>
      <c r="B154" s="4" t="str">
        <f>"甘琴"</f>
        <v>甘琴</v>
      </c>
      <c r="C154" s="4" t="str">
        <f t="shared" si="28"/>
        <v xml:space="preserve">女        </v>
      </c>
      <c r="D154" s="4" t="str">
        <f t="shared" si="25"/>
        <v>汉族</v>
      </c>
      <c r="E154" s="5" t="str">
        <f>"玉林师范学院学前教育"</f>
        <v>玉林师范学院学前教育</v>
      </c>
      <c r="F154" s="5" t="str">
        <f>"专科无学位"</f>
        <v>专科无学位</v>
      </c>
      <c r="G154" s="6" t="str">
        <f>"是"</f>
        <v>是</v>
      </c>
      <c r="H154" s="6" t="str">
        <f t="shared" si="29"/>
        <v>小学</v>
      </c>
      <c r="I154" s="6" t="str">
        <f t="shared" si="30"/>
        <v>102:语文</v>
      </c>
      <c r="J154" s="4" t="s">
        <v>8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s="4" customFormat="1" ht="26.1" customHeight="1">
      <c r="A155" s="3">
        <v>153</v>
      </c>
      <c r="B155" s="4" t="str">
        <f>"陈美宏"</f>
        <v>陈美宏</v>
      </c>
      <c r="C155" s="4" t="str">
        <f t="shared" si="28"/>
        <v xml:space="preserve">女        </v>
      </c>
      <c r="D155" s="4" t="str">
        <f t="shared" si="25"/>
        <v>汉族</v>
      </c>
      <c r="E155" s="5" t="str">
        <f>"广西大学行健文理学院汉语言文学"</f>
        <v>广西大学行健文理学院汉语言文学</v>
      </c>
      <c r="F155" s="5" t="str">
        <f>"本科学士"</f>
        <v>本科学士</v>
      </c>
      <c r="G155" s="6" t="str">
        <f>"不是"</f>
        <v>不是</v>
      </c>
      <c r="H155" s="6" t="str">
        <f t="shared" si="29"/>
        <v>小学</v>
      </c>
      <c r="I155" s="6" t="str">
        <f t="shared" si="30"/>
        <v>102:语文</v>
      </c>
      <c r="J155" s="4" t="s">
        <v>8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s="4" customFormat="1" ht="26.1" customHeight="1">
      <c r="A156" s="3">
        <v>154</v>
      </c>
      <c r="B156" s="4" t="str">
        <f>"钟佳芮"</f>
        <v>钟佳芮</v>
      </c>
      <c r="C156" s="4" t="str">
        <f t="shared" si="28"/>
        <v xml:space="preserve">女        </v>
      </c>
      <c r="D156" s="4" t="str">
        <f t="shared" si="25"/>
        <v>汉族</v>
      </c>
      <c r="E156" s="5" t="str">
        <f>"南宁地区教育学院语文教育"</f>
        <v>南宁地区教育学院语文教育</v>
      </c>
      <c r="F156" s="5" t="str">
        <f>"专科无学位"</f>
        <v>专科无学位</v>
      </c>
      <c r="G156" s="6" t="str">
        <f>"是"</f>
        <v>是</v>
      </c>
      <c r="H156" s="6" t="str">
        <f t="shared" si="29"/>
        <v>小学</v>
      </c>
      <c r="I156" s="6" t="str">
        <f t="shared" si="30"/>
        <v>102:语文</v>
      </c>
      <c r="J156" s="4" t="s">
        <v>8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s="4" customFormat="1" ht="26.1" customHeight="1">
      <c r="A157" s="3">
        <v>155</v>
      </c>
      <c r="B157" s="4" t="str">
        <f>"李玉琼"</f>
        <v>李玉琼</v>
      </c>
      <c r="C157" s="4" t="str">
        <f t="shared" si="28"/>
        <v xml:space="preserve">女        </v>
      </c>
      <c r="D157" s="4" t="str">
        <f t="shared" si="25"/>
        <v>汉族</v>
      </c>
      <c r="E157" s="5" t="str">
        <f>"河池学院学前教育本科"</f>
        <v>河池学院学前教育本科</v>
      </c>
      <c r="F157" s="5" t="str">
        <f>"本科学士"</f>
        <v>本科学士</v>
      </c>
      <c r="G157" s="6" t="str">
        <f>"是"</f>
        <v>是</v>
      </c>
      <c r="H157" s="6" t="str">
        <f t="shared" si="29"/>
        <v>小学</v>
      </c>
      <c r="I157" s="6" t="str">
        <f t="shared" si="30"/>
        <v>102:语文</v>
      </c>
      <c r="J157" s="4" t="s">
        <v>8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s="4" customFormat="1" ht="26.1" customHeight="1">
      <c r="A158" s="3">
        <v>156</v>
      </c>
      <c r="B158" s="4" t="str">
        <f>"俞洁雯"</f>
        <v>俞洁雯</v>
      </c>
      <c r="C158" s="4" t="str">
        <f t="shared" si="28"/>
        <v xml:space="preserve">女        </v>
      </c>
      <c r="D158" s="4" t="str">
        <f t="shared" si="25"/>
        <v>汉族</v>
      </c>
      <c r="E158" s="5" t="str">
        <f>"玉林师范学院学前教育"</f>
        <v>玉林师范学院学前教育</v>
      </c>
      <c r="F158" s="5" t="str">
        <f>"本科学士"</f>
        <v>本科学士</v>
      </c>
      <c r="G158" s="6" t="str">
        <f>"是"</f>
        <v>是</v>
      </c>
      <c r="H158" s="6" t="str">
        <f t="shared" si="29"/>
        <v>小学</v>
      </c>
      <c r="I158" s="6" t="str">
        <f t="shared" si="30"/>
        <v>102:语文</v>
      </c>
      <c r="J158" s="4" t="s">
        <v>8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s="4" customFormat="1" ht="26.1" customHeight="1">
      <c r="A159" s="3">
        <v>157</v>
      </c>
      <c r="B159" s="4" t="str">
        <f>"丘美珍"</f>
        <v>丘美珍</v>
      </c>
      <c r="C159" s="4" t="str">
        <f t="shared" si="28"/>
        <v xml:space="preserve">女        </v>
      </c>
      <c r="D159" s="4" t="str">
        <f t="shared" si="25"/>
        <v>汉族</v>
      </c>
      <c r="E159" s="5" t="str">
        <f>"广西师范大学学前教育"</f>
        <v>广西师范大学学前教育</v>
      </c>
      <c r="F159" s="5" t="str">
        <f>"本科学士"</f>
        <v>本科学士</v>
      </c>
      <c r="G159" s="6" t="str">
        <f>"是"</f>
        <v>是</v>
      </c>
      <c r="H159" s="6" t="str">
        <f t="shared" si="29"/>
        <v>小学</v>
      </c>
      <c r="I159" s="6" t="str">
        <f t="shared" si="30"/>
        <v>102:语文</v>
      </c>
      <c r="J159" s="4" t="s">
        <v>8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s="4" customFormat="1" ht="26.1" customHeight="1">
      <c r="A160" s="3">
        <v>158</v>
      </c>
      <c r="B160" s="4" t="str">
        <f>"张丽燕"</f>
        <v>张丽燕</v>
      </c>
      <c r="C160" s="4" t="str">
        <f t="shared" si="28"/>
        <v xml:space="preserve">女        </v>
      </c>
      <c r="D160" s="4" t="str">
        <f t="shared" si="25"/>
        <v>汉族</v>
      </c>
      <c r="E160" s="5" t="str">
        <f>"广西幼儿师范高等专科学校学前教育"</f>
        <v>广西幼儿师范高等专科学校学前教育</v>
      </c>
      <c r="F160" s="5" t="str">
        <f>"专科无学位"</f>
        <v>专科无学位</v>
      </c>
      <c r="G160" s="6" t="str">
        <f>"是"</f>
        <v>是</v>
      </c>
      <c r="H160" s="6" t="str">
        <f t="shared" si="29"/>
        <v>小学</v>
      </c>
      <c r="I160" s="6" t="str">
        <f t="shared" si="30"/>
        <v>102:语文</v>
      </c>
      <c r="J160" s="4" t="s">
        <v>8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s="4" customFormat="1" ht="26.1" customHeight="1">
      <c r="A161" s="3">
        <v>159</v>
      </c>
      <c r="B161" s="4" t="str">
        <f>"林灵言"</f>
        <v>林灵言</v>
      </c>
      <c r="C161" s="4" t="str">
        <f t="shared" si="28"/>
        <v xml:space="preserve">女        </v>
      </c>
      <c r="D161" s="4" t="str">
        <f t="shared" si="25"/>
        <v>汉族</v>
      </c>
      <c r="E161" s="5" t="str">
        <f>"广西财经学院国际商务"</f>
        <v>广西财经学院国际商务</v>
      </c>
      <c r="F161" s="5" t="str">
        <f>"本科学士"</f>
        <v>本科学士</v>
      </c>
      <c r="G161" s="6" t="str">
        <f>"不是"</f>
        <v>不是</v>
      </c>
      <c r="H161" s="6" t="str">
        <f t="shared" si="29"/>
        <v>小学</v>
      </c>
      <c r="I161" s="6" t="str">
        <f t="shared" si="30"/>
        <v>102:语文</v>
      </c>
      <c r="J161" s="4" t="s">
        <v>8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s="4" customFormat="1" ht="26.1" customHeight="1">
      <c r="A162" s="3">
        <v>160</v>
      </c>
      <c r="B162" s="4" t="str">
        <f>"罗婷雯"</f>
        <v>罗婷雯</v>
      </c>
      <c r="C162" s="4" t="str">
        <f t="shared" si="28"/>
        <v xml:space="preserve">女        </v>
      </c>
      <c r="D162" s="4" t="str">
        <f t="shared" si="25"/>
        <v>汉族</v>
      </c>
      <c r="E162" s="5" t="str">
        <f>"广西教育学院汉语"</f>
        <v>广西教育学院汉语</v>
      </c>
      <c r="F162" s="5" t="str">
        <f>"专科无学位"</f>
        <v>专科无学位</v>
      </c>
      <c r="G162" s="6" t="str">
        <f>"是"</f>
        <v>是</v>
      </c>
      <c r="H162" s="6" t="str">
        <f t="shared" si="29"/>
        <v>小学</v>
      </c>
      <c r="I162" s="6" t="str">
        <f t="shared" si="30"/>
        <v>102:语文</v>
      </c>
      <c r="J162" s="4" t="s">
        <v>8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s="4" customFormat="1" ht="26.1" customHeight="1">
      <c r="A163" s="3">
        <v>161</v>
      </c>
      <c r="B163" s="4" t="str">
        <f>"黎思"</f>
        <v>黎思</v>
      </c>
      <c r="C163" s="4" t="str">
        <f t="shared" si="28"/>
        <v xml:space="preserve">女        </v>
      </c>
      <c r="D163" s="4" t="str">
        <f t="shared" si="25"/>
        <v>汉族</v>
      </c>
      <c r="E163" s="5" t="str">
        <f>"广西科技师范学院学前教育"</f>
        <v>广西科技师范学院学前教育</v>
      </c>
      <c r="F163" s="5" t="str">
        <f>"专科无学位"</f>
        <v>专科无学位</v>
      </c>
      <c r="G163" s="6" t="str">
        <f>"是"</f>
        <v>是</v>
      </c>
      <c r="H163" s="6" t="str">
        <f t="shared" si="29"/>
        <v>小学</v>
      </c>
      <c r="I163" s="6" t="str">
        <f t="shared" si="30"/>
        <v>102:语文</v>
      </c>
      <c r="J163" s="4" t="s">
        <v>8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s="4" customFormat="1" ht="26.1" customHeight="1">
      <c r="A164" s="3">
        <v>162</v>
      </c>
      <c r="B164" s="4" t="str">
        <f>"唐梅羡"</f>
        <v>唐梅羡</v>
      </c>
      <c r="C164" s="4" t="str">
        <f t="shared" si="28"/>
        <v xml:space="preserve">女        </v>
      </c>
      <c r="D164" s="4" t="str">
        <f t="shared" si="25"/>
        <v>汉族</v>
      </c>
      <c r="E164" s="5" t="str">
        <f>"广西师范大学汉语言文学"</f>
        <v>广西师范大学汉语言文学</v>
      </c>
      <c r="F164" s="5" t="str">
        <f>"本科无学位"</f>
        <v>本科无学位</v>
      </c>
      <c r="G164" s="6" t="str">
        <f>"是"</f>
        <v>是</v>
      </c>
      <c r="H164" s="6" t="str">
        <f t="shared" si="29"/>
        <v>小学</v>
      </c>
      <c r="I164" s="6" t="str">
        <f t="shared" si="30"/>
        <v>102:语文</v>
      </c>
      <c r="J164" s="4" t="s">
        <v>8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s="4" customFormat="1" ht="26.1" customHeight="1">
      <c r="A165" s="3">
        <v>163</v>
      </c>
      <c r="B165" s="4" t="str">
        <f>"苏美君"</f>
        <v>苏美君</v>
      </c>
      <c r="C165" s="4" t="str">
        <f t="shared" si="28"/>
        <v xml:space="preserve">女        </v>
      </c>
      <c r="D165" s="4" t="str">
        <f t="shared" si="25"/>
        <v>汉族</v>
      </c>
      <c r="E165" s="5" t="str">
        <f>"钦州学院教育学"</f>
        <v>钦州学院教育学</v>
      </c>
      <c r="F165" s="5" t="str">
        <f>"本科学士"</f>
        <v>本科学士</v>
      </c>
      <c r="G165" s="6" t="str">
        <f>"是"</f>
        <v>是</v>
      </c>
      <c r="H165" s="6" t="str">
        <f t="shared" si="29"/>
        <v>小学</v>
      </c>
      <c r="I165" s="6" t="str">
        <f t="shared" si="30"/>
        <v>102:语文</v>
      </c>
      <c r="J165" s="4" t="s">
        <v>8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s="4" customFormat="1" ht="26.1" customHeight="1">
      <c r="A166" s="3">
        <v>164</v>
      </c>
      <c r="B166" s="4" t="str">
        <f>"谭曦文"</f>
        <v>谭曦文</v>
      </c>
      <c r="C166" s="4" t="str">
        <f t="shared" si="28"/>
        <v xml:space="preserve">女        </v>
      </c>
      <c r="D166" s="4" t="str">
        <f t="shared" si="25"/>
        <v>汉族</v>
      </c>
      <c r="E166" s="5" t="str">
        <f>"广西民族大学相思湖学院汉语国际教育"</f>
        <v>广西民族大学相思湖学院汉语国际教育</v>
      </c>
      <c r="F166" s="5" t="str">
        <f>"本科学士"</f>
        <v>本科学士</v>
      </c>
      <c r="G166" s="6" t="str">
        <f>"不是"</f>
        <v>不是</v>
      </c>
      <c r="H166" s="6" t="str">
        <f t="shared" si="29"/>
        <v>小学</v>
      </c>
      <c r="I166" s="6" t="str">
        <f t="shared" si="30"/>
        <v>102:语文</v>
      </c>
      <c r="J166" s="4" t="s">
        <v>8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s="4" customFormat="1" ht="26.1" customHeight="1">
      <c r="A167" s="3">
        <v>165</v>
      </c>
      <c r="B167" s="4" t="str">
        <f>"谢婷"</f>
        <v>谢婷</v>
      </c>
      <c r="C167" s="4" t="str">
        <f t="shared" si="28"/>
        <v xml:space="preserve">女        </v>
      </c>
      <c r="D167" s="4" t="str">
        <f t="shared" si="25"/>
        <v>汉族</v>
      </c>
      <c r="E167" s="5" t="str">
        <f>"玉林师范学院小学教育"</f>
        <v>玉林师范学院小学教育</v>
      </c>
      <c r="F167" s="5" t="str">
        <f>"本科学士"</f>
        <v>本科学士</v>
      </c>
      <c r="G167" s="6" t="str">
        <f>"是"</f>
        <v>是</v>
      </c>
      <c r="H167" s="6" t="str">
        <f t="shared" si="29"/>
        <v>小学</v>
      </c>
      <c r="I167" s="6" t="str">
        <f t="shared" si="30"/>
        <v>102:语文</v>
      </c>
      <c r="J167" s="4" t="s">
        <v>8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s="4" customFormat="1" ht="26.1" customHeight="1">
      <c r="A168" s="3">
        <v>166</v>
      </c>
      <c r="B168" s="4" t="str">
        <f>"陆莹莹"</f>
        <v>陆莹莹</v>
      </c>
      <c r="C168" s="4" t="str">
        <f t="shared" si="28"/>
        <v xml:space="preserve">女        </v>
      </c>
      <c r="D168" s="4" t="str">
        <f t="shared" si="25"/>
        <v>汉族</v>
      </c>
      <c r="E168" s="5" t="str">
        <f>"广西教育学院汉语言文学"</f>
        <v>广西教育学院汉语言文学</v>
      </c>
      <c r="F168" s="5" t="str">
        <f>"专科无学位"</f>
        <v>专科无学位</v>
      </c>
      <c r="G168" s="6" t="str">
        <f>"是"</f>
        <v>是</v>
      </c>
      <c r="H168" s="6" t="str">
        <f t="shared" si="29"/>
        <v>小学</v>
      </c>
      <c r="I168" s="6" t="str">
        <f t="shared" si="30"/>
        <v>102:语文</v>
      </c>
      <c r="J168" s="4" t="s">
        <v>8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s="4" customFormat="1" ht="26.1" customHeight="1">
      <c r="A169" s="3">
        <v>167</v>
      </c>
      <c r="B169" s="4" t="str">
        <f>"谢日红"</f>
        <v>谢日红</v>
      </c>
      <c r="C169" s="4" t="str">
        <f t="shared" si="28"/>
        <v xml:space="preserve">女        </v>
      </c>
      <c r="D169" s="4" t="str">
        <f t="shared" si="25"/>
        <v>汉族</v>
      </c>
      <c r="E169" s="5" t="str">
        <f>"桂林师范高等专科学校汉语"</f>
        <v>桂林师范高等专科学校汉语</v>
      </c>
      <c r="F169" s="5" t="str">
        <f>"专科无学位"</f>
        <v>专科无学位</v>
      </c>
      <c r="G169" s="6" t="str">
        <f>"是"</f>
        <v>是</v>
      </c>
      <c r="H169" s="6" t="str">
        <f t="shared" si="29"/>
        <v>小学</v>
      </c>
      <c r="I169" s="6" t="str">
        <f t="shared" si="30"/>
        <v>102:语文</v>
      </c>
      <c r="J169" s="4" t="s">
        <v>8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s="4" customFormat="1" ht="26.1" customHeight="1">
      <c r="A170" s="3">
        <v>168</v>
      </c>
      <c r="B170" s="4" t="str">
        <f>"韦丹荣"</f>
        <v>韦丹荣</v>
      </c>
      <c r="C170" s="4" t="str">
        <f t="shared" si="28"/>
        <v xml:space="preserve">女        </v>
      </c>
      <c r="D170" s="4" t="str">
        <f>"壮族"</f>
        <v>壮族</v>
      </c>
      <c r="E170" s="5" t="str">
        <f>"玉林师范学院应用日语"</f>
        <v>玉林师范学院应用日语</v>
      </c>
      <c r="F170" s="5" t="str">
        <f>"本科学士"</f>
        <v>本科学士</v>
      </c>
      <c r="G170" s="6" t="str">
        <f>"不是"</f>
        <v>不是</v>
      </c>
      <c r="H170" s="6" t="str">
        <f t="shared" si="29"/>
        <v>小学</v>
      </c>
      <c r="I170" s="6" t="str">
        <f t="shared" si="30"/>
        <v>102:语文</v>
      </c>
      <c r="J170" s="4" t="s">
        <v>8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s="4" customFormat="1" ht="26.1" customHeight="1">
      <c r="A171" s="3">
        <v>169</v>
      </c>
      <c r="B171" s="4" t="str">
        <f>"陈燕媚"</f>
        <v>陈燕媚</v>
      </c>
      <c r="C171" s="4" t="str">
        <f t="shared" si="28"/>
        <v xml:space="preserve">女        </v>
      </c>
      <c r="D171" s="4" t="str">
        <f t="shared" ref="D171:D234" si="31">"汉族"</f>
        <v>汉族</v>
      </c>
      <c r="E171" s="5" t="str">
        <f>"广西科技师范学院综合文科教育"</f>
        <v>广西科技师范学院综合文科教育</v>
      </c>
      <c r="F171" s="5" t="str">
        <f>"专科无学位"</f>
        <v>专科无学位</v>
      </c>
      <c r="G171" s="6" t="str">
        <f t="shared" ref="G171:G176" si="32">"是"</f>
        <v>是</v>
      </c>
      <c r="H171" s="6" t="str">
        <f t="shared" si="29"/>
        <v>小学</v>
      </c>
      <c r="I171" s="6" t="str">
        <f t="shared" si="30"/>
        <v>102:语文</v>
      </c>
      <c r="J171" s="4" t="s">
        <v>8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s="4" customFormat="1" ht="26.1" customHeight="1">
      <c r="A172" s="3">
        <v>170</v>
      </c>
      <c r="B172" s="4" t="str">
        <f>"韦洁静"</f>
        <v>韦洁静</v>
      </c>
      <c r="C172" s="4" t="str">
        <f t="shared" si="28"/>
        <v xml:space="preserve">女        </v>
      </c>
      <c r="D172" s="4" t="str">
        <f t="shared" si="31"/>
        <v>汉族</v>
      </c>
      <c r="E172" s="5" t="str">
        <f>"广西师范大学漓江学院汉语言文学"</f>
        <v>广西师范大学漓江学院汉语言文学</v>
      </c>
      <c r="F172" s="5" t="str">
        <f>"本科学士"</f>
        <v>本科学士</v>
      </c>
      <c r="G172" s="6" t="str">
        <f t="shared" si="32"/>
        <v>是</v>
      </c>
      <c r="H172" s="6" t="str">
        <f t="shared" si="29"/>
        <v>小学</v>
      </c>
      <c r="I172" s="6" t="str">
        <f t="shared" si="30"/>
        <v>102:语文</v>
      </c>
      <c r="J172" s="4" t="s">
        <v>8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s="4" customFormat="1" ht="26.1" customHeight="1">
      <c r="A173" s="3">
        <v>171</v>
      </c>
      <c r="B173" s="4" t="str">
        <f>"庞霞"</f>
        <v>庞霞</v>
      </c>
      <c r="C173" s="4" t="str">
        <f t="shared" si="28"/>
        <v xml:space="preserve">女        </v>
      </c>
      <c r="D173" s="4" t="str">
        <f t="shared" si="31"/>
        <v>汉族</v>
      </c>
      <c r="E173" s="5" t="str">
        <f>"广西玉林师范学院汉语言文学"</f>
        <v>广西玉林师范学院汉语言文学</v>
      </c>
      <c r="F173" s="5" t="str">
        <f>"本科学士"</f>
        <v>本科学士</v>
      </c>
      <c r="G173" s="6" t="str">
        <f t="shared" si="32"/>
        <v>是</v>
      </c>
      <c r="H173" s="6" t="str">
        <f t="shared" si="29"/>
        <v>小学</v>
      </c>
      <c r="I173" s="6" t="str">
        <f t="shared" si="30"/>
        <v>102:语文</v>
      </c>
      <c r="J173" s="4" t="s">
        <v>8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s="4" customFormat="1" ht="26.1" customHeight="1">
      <c r="A174" s="3">
        <v>172</v>
      </c>
      <c r="B174" s="4" t="str">
        <f>"丘利婷"</f>
        <v>丘利婷</v>
      </c>
      <c r="C174" s="4" t="str">
        <f t="shared" si="28"/>
        <v xml:space="preserve">女        </v>
      </c>
      <c r="D174" s="4" t="str">
        <f t="shared" si="31"/>
        <v>汉族</v>
      </c>
      <c r="E174" s="5" t="str">
        <f>"梧州学院小学教育"</f>
        <v>梧州学院小学教育</v>
      </c>
      <c r="F174" s="5" t="str">
        <f>"本科学士"</f>
        <v>本科学士</v>
      </c>
      <c r="G174" s="6" t="str">
        <f t="shared" si="32"/>
        <v>是</v>
      </c>
      <c r="H174" s="6" t="str">
        <f t="shared" si="29"/>
        <v>小学</v>
      </c>
      <c r="I174" s="6" t="str">
        <f t="shared" si="30"/>
        <v>102:语文</v>
      </c>
      <c r="J174" s="4" t="s">
        <v>8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s="4" customFormat="1" ht="26.1" customHeight="1">
      <c r="A175" s="3">
        <v>173</v>
      </c>
      <c r="B175" s="4" t="str">
        <f>"黄秋莲"</f>
        <v>黄秋莲</v>
      </c>
      <c r="C175" s="4" t="str">
        <f t="shared" si="28"/>
        <v xml:space="preserve">女        </v>
      </c>
      <c r="D175" s="4" t="str">
        <f t="shared" si="31"/>
        <v>汉族</v>
      </c>
      <c r="E175" s="5" t="str">
        <f>"南宁地区教育学院语文教育"</f>
        <v>南宁地区教育学院语文教育</v>
      </c>
      <c r="F175" s="5" t="str">
        <f>"专科无学位"</f>
        <v>专科无学位</v>
      </c>
      <c r="G175" s="6" t="str">
        <f t="shared" si="32"/>
        <v>是</v>
      </c>
      <c r="H175" s="6" t="str">
        <f t="shared" si="29"/>
        <v>小学</v>
      </c>
      <c r="I175" s="6" t="str">
        <f t="shared" si="30"/>
        <v>102:语文</v>
      </c>
      <c r="J175" s="4" t="s">
        <v>8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s="4" customFormat="1" ht="26.1" customHeight="1">
      <c r="A176" s="3">
        <v>174</v>
      </c>
      <c r="B176" s="4" t="str">
        <f>"陈春伶"</f>
        <v>陈春伶</v>
      </c>
      <c r="C176" s="4" t="str">
        <f t="shared" si="28"/>
        <v xml:space="preserve">女        </v>
      </c>
      <c r="D176" s="4" t="str">
        <f t="shared" si="31"/>
        <v>汉族</v>
      </c>
      <c r="E176" s="5" t="str">
        <f>"广西教育学院汉语"</f>
        <v>广西教育学院汉语</v>
      </c>
      <c r="F176" s="5" t="str">
        <f>"专科无学位"</f>
        <v>专科无学位</v>
      </c>
      <c r="G176" s="6" t="str">
        <f t="shared" si="32"/>
        <v>是</v>
      </c>
      <c r="H176" s="6" t="str">
        <f t="shared" si="29"/>
        <v>小学</v>
      </c>
      <c r="I176" s="6" t="str">
        <f t="shared" si="30"/>
        <v>102:语文</v>
      </c>
      <c r="J176" s="4" t="s">
        <v>8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s="4" customFormat="1" ht="26.1" customHeight="1">
      <c r="A177" s="3">
        <v>175</v>
      </c>
      <c r="B177" s="4" t="str">
        <f>"张宇"</f>
        <v>张宇</v>
      </c>
      <c r="C177" s="4" t="str">
        <f t="shared" si="28"/>
        <v xml:space="preserve">女        </v>
      </c>
      <c r="D177" s="4" t="str">
        <f t="shared" si="31"/>
        <v>汉族</v>
      </c>
      <c r="E177" s="5" t="str">
        <f>"玉林师范学院秘书学"</f>
        <v>玉林师范学院秘书学</v>
      </c>
      <c r="F177" s="5" t="str">
        <f>"本科学士"</f>
        <v>本科学士</v>
      </c>
      <c r="G177" s="6" t="str">
        <f>"不是"</f>
        <v>不是</v>
      </c>
      <c r="H177" s="6" t="str">
        <f t="shared" si="29"/>
        <v>小学</v>
      </c>
      <c r="I177" s="6" t="str">
        <f t="shared" si="30"/>
        <v>102:语文</v>
      </c>
      <c r="J177" s="4" t="s">
        <v>8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s="4" customFormat="1" ht="26.1" customHeight="1">
      <c r="A178" s="3">
        <v>176</v>
      </c>
      <c r="B178" s="4" t="str">
        <f>"杨海霞"</f>
        <v>杨海霞</v>
      </c>
      <c r="C178" s="4" t="str">
        <f t="shared" si="28"/>
        <v xml:space="preserve">女        </v>
      </c>
      <c r="D178" s="4" t="str">
        <f t="shared" si="31"/>
        <v>汉族</v>
      </c>
      <c r="E178" s="5" t="str">
        <f>"广西民族师范学院汉语言文学"</f>
        <v>广西民族师范学院汉语言文学</v>
      </c>
      <c r="F178" s="5" t="str">
        <f>"专科无学位"</f>
        <v>专科无学位</v>
      </c>
      <c r="G178" s="6" t="str">
        <f>"是"</f>
        <v>是</v>
      </c>
      <c r="H178" s="6" t="str">
        <f t="shared" si="29"/>
        <v>小学</v>
      </c>
      <c r="I178" s="6" t="str">
        <f t="shared" si="30"/>
        <v>102:语文</v>
      </c>
      <c r="J178" s="4" t="s">
        <v>8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s="4" customFormat="1" ht="26.1" customHeight="1">
      <c r="A179" s="3">
        <v>177</v>
      </c>
      <c r="B179" s="4" t="str">
        <f>"欧柔柔"</f>
        <v>欧柔柔</v>
      </c>
      <c r="C179" s="4" t="str">
        <f t="shared" si="28"/>
        <v xml:space="preserve">女        </v>
      </c>
      <c r="D179" s="4" t="str">
        <f t="shared" si="31"/>
        <v>汉族</v>
      </c>
      <c r="E179" s="5" t="str">
        <f>"南宁地区教育学院语文教育"</f>
        <v>南宁地区教育学院语文教育</v>
      </c>
      <c r="F179" s="5" t="str">
        <f>"专科无学位"</f>
        <v>专科无学位</v>
      </c>
      <c r="G179" s="6" t="str">
        <f>"是"</f>
        <v>是</v>
      </c>
      <c r="H179" s="6" t="str">
        <f t="shared" si="29"/>
        <v>小学</v>
      </c>
      <c r="I179" s="6" t="str">
        <f t="shared" si="30"/>
        <v>102:语文</v>
      </c>
      <c r="J179" s="4" t="s">
        <v>8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s="4" customFormat="1" ht="26.1" customHeight="1">
      <c r="A180" s="3">
        <v>178</v>
      </c>
      <c r="B180" s="4" t="str">
        <f>"肖靖玫"</f>
        <v>肖靖玫</v>
      </c>
      <c r="C180" s="4" t="str">
        <f t="shared" si="28"/>
        <v xml:space="preserve">女        </v>
      </c>
      <c r="D180" s="4" t="str">
        <f t="shared" si="31"/>
        <v>汉族</v>
      </c>
      <c r="E180" s="5" t="str">
        <f>"广西师范学院汉语言文学"</f>
        <v>广西师范学院汉语言文学</v>
      </c>
      <c r="F180" s="5" t="str">
        <f>"本科学士"</f>
        <v>本科学士</v>
      </c>
      <c r="G180" s="6" t="str">
        <f>"不是"</f>
        <v>不是</v>
      </c>
      <c r="H180" s="6" t="str">
        <f t="shared" si="29"/>
        <v>小学</v>
      </c>
      <c r="I180" s="6" t="str">
        <f t="shared" si="30"/>
        <v>102:语文</v>
      </c>
      <c r="J180" s="4" t="s">
        <v>8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s="4" customFormat="1" ht="26.1" customHeight="1">
      <c r="A181" s="3">
        <v>179</v>
      </c>
      <c r="B181" s="4" t="str">
        <f>"李艾"</f>
        <v>李艾</v>
      </c>
      <c r="C181" s="4" t="str">
        <f t="shared" si="28"/>
        <v xml:space="preserve">女        </v>
      </c>
      <c r="D181" s="4" t="str">
        <f t="shared" si="31"/>
        <v>汉族</v>
      </c>
      <c r="E181" s="5" t="str">
        <f>"广西南宁地区教育学院语文教育"</f>
        <v>广西南宁地区教育学院语文教育</v>
      </c>
      <c r="F181" s="5" t="str">
        <f>"专科无学位"</f>
        <v>专科无学位</v>
      </c>
      <c r="G181" s="6" t="str">
        <f t="shared" ref="G181:G193" si="33">"是"</f>
        <v>是</v>
      </c>
      <c r="H181" s="6" t="str">
        <f t="shared" si="29"/>
        <v>小学</v>
      </c>
      <c r="I181" s="6" t="str">
        <f t="shared" si="30"/>
        <v>102:语文</v>
      </c>
      <c r="J181" s="4" t="s">
        <v>8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s="4" customFormat="1" ht="26.1" customHeight="1">
      <c r="A182" s="3">
        <v>180</v>
      </c>
      <c r="B182" s="4" t="str">
        <f>"何蕙彤"</f>
        <v>何蕙彤</v>
      </c>
      <c r="C182" s="4" t="str">
        <f t="shared" si="28"/>
        <v xml:space="preserve">女        </v>
      </c>
      <c r="D182" s="4" t="str">
        <f t="shared" si="31"/>
        <v>汉族</v>
      </c>
      <c r="E182" s="5" t="str">
        <f>"玉林师范学院学前教育"</f>
        <v>玉林师范学院学前教育</v>
      </c>
      <c r="F182" s="5" t="str">
        <f>"本科学士"</f>
        <v>本科学士</v>
      </c>
      <c r="G182" s="6" t="str">
        <f t="shared" si="33"/>
        <v>是</v>
      </c>
      <c r="H182" s="6" t="str">
        <f t="shared" si="29"/>
        <v>小学</v>
      </c>
      <c r="I182" s="6" t="str">
        <f t="shared" si="30"/>
        <v>102:语文</v>
      </c>
      <c r="J182" s="4" t="s">
        <v>8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s="4" customFormat="1" ht="26.1" customHeight="1">
      <c r="A183" s="3">
        <v>181</v>
      </c>
      <c r="B183" s="4" t="str">
        <f>"滕丽娜"</f>
        <v>滕丽娜</v>
      </c>
      <c r="C183" s="4" t="str">
        <f t="shared" si="28"/>
        <v xml:space="preserve">女        </v>
      </c>
      <c r="D183" s="4" t="str">
        <f t="shared" si="31"/>
        <v>汉族</v>
      </c>
      <c r="E183" s="5" t="str">
        <f>"桂林师范高等专科学校汉语"</f>
        <v>桂林师范高等专科学校汉语</v>
      </c>
      <c r="F183" s="5" t="str">
        <f>"专科无学位"</f>
        <v>专科无学位</v>
      </c>
      <c r="G183" s="6" t="str">
        <f t="shared" si="33"/>
        <v>是</v>
      </c>
      <c r="H183" s="6" t="str">
        <f t="shared" si="29"/>
        <v>小学</v>
      </c>
      <c r="I183" s="6" t="str">
        <f t="shared" si="30"/>
        <v>102:语文</v>
      </c>
      <c r="J183" s="4" t="s">
        <v>8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s="4" customFormat="1" ht="26.1" customHeight="1">
      <c r="A184" s="3">
        <v>182</v>
      </c>
      <c r="B184" s="4" t="str">
        <f>"王雪"</f>
        <v>王雪</v>
      </c>
      <c r="C184" s="4" t="str">
        <f t="shared" si="28"/>
        <v xml:space="preserve">女        </v>
      </c>
      <c r="D184" s="4" t="str">
        <f t="shared" si="31"/>
        <v>汉族</v>
      </c>
      <c r="E184" s="5" t="str">
        <f>"钦州学院教育学"</f>
        <v>钦州学院教育学</v>
      </c>
      <c r="F184" s="5" t="str">
        <f>"本科学士"</f>
        <v>本科学士</v>
      </c>
      <c r="G184" s="6" t="str">
        <f t="shared" si="33"/>
        <v>是</v>
      </c>
      <c r="H184" s="6" t="str">
        <f t="shared" si="29"/>
        <v>小学</v>
      </c>
      <c r="I184" s="6" t="str">
        <f t="shared" si="30"/>
        <v>102:语文</v>
      </c>
      <c r="J184" s="4" t="s">
        <v>8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s="4" customFormat="1" ht="26.1" customHeight="1">
      <c r="A185" s="3">
        <v>183</v>
      </c>
      <c r="B185" s="4" t="str">
        <f>"罗梦萍"</f>
        <v>罗梦萍</v>
      </c>
      <c r="C185" s="4" t="str">
        <f t="shared" si="28"/>
        <v xml:space="preserve">女        </v>
      </c>
      <c r="D185" s="4" t="str">
        <f t="shared" si="31"/>
        <v>汉族</v>
      </c>
      <c r="E185" s="5" t="str">
        <f>"百色学院综合文科教育"</f>
        <v>百色学院综合文科教育</v>
      </c>
      <c r="F185" s="5" t="str">
        <f>"专科无学位"</f>
        <v>专科无学位</v>
      </c>
      <c r="G185" s="6" t="str">
        <f t="shared" si="33"/>
        <v>是</v>
      </c>
      <c r="H185" s="6" t="str">
        <f t="shared" si="29"/>
        <v>小学</v>
      </c>
      <c r="I185" s="6" t="str">
        <f t="shared" si="30"/>
        <v>102:语文</v>
      </c>
      <c r="J185" s="4" t="s">
        <v>8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s="4" customFormat="1" ht="26.1" customHeight="1">
      <c r="A186" s="3">
        <v>184</v>
      </c>
      <c r="B186" s="4" t="str">
        <f>"龙玉莲"</f>
        <v>龙玉莲</v>
      </c>
      <c r="C186" s="4" t="str">
        <f t="shared" si="28"/>
        <v xml:space="preserve">女        </v>
      </c>
      <c r="D186" s="4" t="str">
        <f t="shared" si="31"/>
        <v>汉族</v>
      </c>
      <c r="E186" s="5" t="str">
        <f>"广西幼儿师范高等专科学校语文教育"</f>
        <v>广西幼儿师范高等专科学校语文教育</v>
      </c>
      <c r="F186" s="5" t="str">
        <f>"专科无学位"</f>
        <v>专科无学位</v>
      </c>
      <c r="G186" s="6" t="str">
        <f t="shared" si="33"/>
        <v>是</v>
      </c>
      <c r="H186" s="6" t="str">
        <f t="shared" si="29"/>
        <v>小学</v>
      </c>
      <c r="I186" s="6" t="str">
        <f t="shared" si="30"/>
        <v>102:语文</v>
      </c>
      <c r="J186" s="4" t="s">
        <v>8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s="4" customFormat="1" ht="26.1" customHeight="1">
      <c r="A187" s="3">
        <v>185</v>
      </c>
      <c r="B187" s="4" t="str">
        <f>"冯杰"</f>
        <v>冯杰</v>
      </c>
      <c r="C187" s="4" t="str">
        <f>"男        "</f>
        <v xml:space="preserve">男        </v>
      </c>
      <c r="D187" s="4" t="str">
        <f t="shared" si="31"/>
        <v>汉族</v>
      </c>
      <c r="E187" s="5" t="str">
        <f>"德宏师范高等专科学校初等教育"</f>
        <v>德宏师范高等专科学校初等教育</v>
      </c>
      <c r="F187" s="5" t="str">
        <f>"专科无学位"</f>
        <v>专科无学位</v>
      </c>
      <c r="G187" s="6" t="str">
        <f t="shared" si="33"/>
        <v>是</v>
      </c>
      <c r="H187" s="6" t="str">
        <f t="shared" si="29"/>
        <v>小学</v>
      </c>
      <c r="I187" s="6" t="str">
        <f t="shared" si="30"/>
        <v>102:语文</v>
      </c>
      <c r="J187" s="4" t="s">
        <v>8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s="4" customFormat="1" ht="26.1" customHeight="1">
      <c r="A188" s="3">
        <v>186</v>
      </c>
      <c r="B188" s="4" t="str">
        <f>"周芊彤"</f>
        <v>周芊彤</v>
      </c>
      <c r="C188" s="4" t="str">
        <f>"女        "</f>
        <v xml:space="preserve">女        </v>
      </c>
      <c r="D188" s="4" t="str">
        <f t="shared" si="31"/>
        <v>汉族</v>
      </c>
      <c r="E188" s="5" t="str">
        <f>"广西师范学院师园学院汉语言文学"</f>
        <v>广西师范学院师园学院汉语言文学</v>
      </c>
      <c r="F188" s="5" t="str">
        <f>"本科学士"</f>
        <v>本科学士</v>
      </c>
      <c r="G188" s="6" t="str">
        <f t="shared" si="33"/>
        <v>是</v>
      </c>
      <c r="H188" s="6" t="str">
        <f t="shared" si="29"/>
        <v>小学</v>
      </c>
      <c r="I188" s="6" t="str">
        <f t="shared" si="30"/>
        <v>102:语文</v>
      </c>
      <c r="J188" s="4" t="s">
        <v>8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s="4" customFormat="1" ht="26.1" customHeight="1">
      <c r="A189" s="3">
        <v>187</v>
      </c>
      <c r="B189" s="4" t="str">
        <f>"梁誉羚"</f>
        <v>梁誉羚</v>
      </c>
      <c r="C189" s="4" t="str">
        <f>"女        "</f>
        <v xml:space="preserve">女        </v>
      </c>
      <c r="D189" s="4" t="str">
        <f t="shared" si="31"/>
        <v>汉族</v>
      </c>
      <c r="E189" s="5" t="str">
        <f>"南宁地区教育学院语文教育"</f>
        <v>南宁地区教育学院语文教育</v>
      </c>
      <c r="F189" s="5" t="str">
        <f>"专科无学位"</f>
        <v>专科无学位</v>
      </c>
      <c r="G189" s="6" t="str">
        <f t="shared" si="33"/>
        <v>是</v>
      </c>
      <c r="H189" s="6" t="str">
        <f t="shared" si="29"/>
        <v>小学</v>
      </c>
      <c r="I189" s="6" t="str">
        <f t="shared" si="30"/>
        <v>102:语文</v>
      </c>
      <c r="J189" s="4" t="s">
        <v>8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s="4" customFormat="1" ht="26.1" customHeight="1">
      <c r="A190" s="3">
        <v>188</v>
      </c>
      <c r="B190" s="4" t="str">
        <f>"吴展媚"</f>
        <v>吴展媚</v>
      </c>
      <c r="C190" s="4" t="str">
        <f>"女        "</f>
        <v xml:space="preserve">女        </v>
      </c>
      <c r="D190" s="4" t="str">
        <f t="shared" si="31"/>
        <v>汉族</v>
      </c>
      <c r="E190" s="5" t="str">
        <f>"广西民族大学汉语言文学"</f>
        <v>广西民族大学汉语言文学</v>
      </c>
      <c r="F190" s="5" t="str">
        <f>"本科学士"</f>
        <v>本科学士</v>
      </c>
      <c r="G190" s="6" t="str">
        <f t="shared" si="33"/>
        <v>是</v>
      </c>
      <c r="H190" s="6" t="str">
        <f t="shared" si="29"/>
        <v>小学</v>
      </c>
      <c r="I190" s="6" t="str">
        <f t="shared" si="30"/>
        <v>102:语文</v>
      </c>
      <c r="J190" s="4" t="s">
        <v>8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s="4" customFormat="1" ht="26.1" customHeight="1">
      <c r="A191" s="3">
        <v>189</v>
      </c>
      <c r="B191" s="4" t="str">
        <f>"李思蓓"</f>
        <v>李思蓓</v>
      </c>
      <c r="C191" s="4" t="str">
        <f>"女        "</f>
        <v xml:space="preserve">女        </v>
      </c>
      <c r="D191" s="4" t="str">
        <f t="shared" si="31"/>
        <v>汉族</v>
      </c>
      <c r="E191" s="5" t="str">
        <f>"广西师范大学漓江学院汉语言文学"</f>
        <v>广西师范大学漓江学院汉语言文学</v>
      </c>
      <c r="F191" s="5" t="str">
        <f>"本科学士"</f>
        <v>本科学士</v>
      </c>
      <c r="G191" s="6" t="str">
        <f t="shared" si="33"/>
        <v>是</v>
      </c>
      <c r="H191" s="6" t="str">
        <f t="shared" si="29"/>
        <v>小学</v>
      </c>
      <c r="I191" s="6" t="str">
        <f t="shared" si="30"/>
        <v>102:语文</v>
      </c>
      <c r="J191" s="4" t="s">
        <v>8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s="4" customFormat="1" ht="26.1" customHeight="1">
      <c r="A192" s="3">
        <v>190</v>
      </c>
      <c r="B192" s="4" t="str">
        <f>"罗丽满"</f>
        <v>罗丽满</v>
      </c>
      <c r="C192" s="4" t="str">
        <f>"女        "</f>
        <v xml:space="preserve">女        </v>
      </c>
      <c r="D192" s="4" t="str">
        <f t="shared" si="31"/>
        <v>汉族</v>
      </c>
      <c r="E192" s="5" t="str">
        <f>"广西教育学院汉语"</f>
        <v>广西教育学院汉语</v>
      </c>
      <c r="F192" s="5" t="str">
        <f>"专科无学位"</f>
        <v>专科无学位</v>
      </c>
      <c r="G192" s="6" t="str">
        <f t="shared" si="33"/>
        <v>是</v>
      </c>
      <c r="H192" s="6" t="str">
        <f t="shared" si="29"/>
        <v>小学</v>
      </c>
      <c r="I192" s="6" t="str">
        <f t="shared" si="30"/>
        <v>102:语文</v>
      </c>
      <c r="J192" s="4" t="s">
        <v>8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s="4" customFormat="1" ht="26.1" customHeight="1">
      <c r="A193" s="3">
        <v>191</v>
      </c>
      <c r="B193" s="4" t="str">
        <f>"梁显新"</f>
        <v>梁显新</v>
      </c>
      <c r="C193" s="4" t="str">
        <f>"男        "</f>
        <v xml:space="preserve">男        </v>
      </c>
      <c r="D193" s="4" t="str">
        <f t="shared" si="31"/>
        <v>汉族</v>
      </c>
      <c r="E193" s="5" t="str">
        <f>"广西科技师范学院汉语"</f>
        <v>广西科技师范学院汉语</v>
      </c>
      <c r="F193" s="5" t="str">
        <f>"专科无学位"</f>
        <v>专科无学位</v>
      </c>
      <c r="G193" s="6" t="str">
        <f t="shared" si="33"/>
        <v>是</v>
      </c>
      <c r="H193" s="6" t="str">
        <f t="shared" si="29"/>
        <v>小学</v>
      </c>
      <c r="I193" s="6" t="str">
        <f t="shared" si="30"/>
        <v>102:语文</v>
      </c>
      <c r="J193" s="4" t="s">
        <v>8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s="4" customFormat="1" ht="26.1" customHeight="1">
      <c r="A194" s="3">
        <v>192</v>
      </c>
      <c r="B194" s="4" t="str">
        <f>"杨雁"</f>
        <v>杨雁</v>
      </c>
      <c r="C194" s="4" t="str">
        <f t="shared" ref="C194:C227" si="34">"女        "</f>
        <v xml:space="preserve">女        </v>
      </c>
      <c r="D194" s="4" t="str">
        <f t="shared" si="31"/>
        <v>汉族</v>
      </c>
      <c r="E194" s="5" t="str">
        <f>"越南河内大学应用越南语"</f>
        <v>越南河内大学应用越南语</v>
      </c>
      <c r="F194" s="5" t="str">
        <f>"本科学士"</f>
        <v>本科学士</v>
      </c>
      <c r="G194" s="6" t="str">
        <f>"不是"</f>
        <v>不是</v>
      </c>
      <c r="H194" s="6" t="str">
        <f t="shared" si="29"/>
        <v>小学</v>
      </c>
      <c r="I194" s="6" t="str">
        <f t="shared" si="30"/>
        <v>102:语文</v>
      </c>
      <c r="J194" s="4" t="s">
        <v>8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s="4" customFormat="1" ht="26.1" customHeight="1">
      <c r="A195" s="3">
        <v>193</v>
      </c>
      <c r="B195" s="4" t="str">
        <f>"赵雪伶"</f>
        <v>赵雪伶</v>
      </c>
      <c r="C195" s="4" t="str">
        <f t="shared" si="34"/>
        <v xml:space="preserve">女        </v>
      </c>
      <c r="D195" s="4" t="str">
        <f t="shared" si="31"/>
        <v>汉族</v>
      </c>
      <c r="E195" s="5" t="str">
        <f>"桂林师范高等专科学校汉语"</f>
        <v>桂林师范高等专科学校汉语</v>
      </c>
      <c r="F195" s="5" t="str">
        <f>"专科无学位"</f>
        <v>专科无学位</v>
      </c>
      <c r="G195" s="6" t="str">
        <f>"是"</f>
        <v>是</v>
      </c>
      <c r="H195" s="6" t="str">
        <f t="shared" si="29"/>
        <v>小学</v>
      </c>
      <c r="I195" s="6" t="str">
        <f t="shared" si="30"/>
        <v>102:语文</v>
      </c>
      <c r="J195" s="4" t="s">
        <v>8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s="4" customFormat="1" ht="26.1" customHeight="1">
      <c r="A196" s="3">
        <v>194</v>
      </c>
      <c r="B196" s="4" t="str">
        <f>"苏晴"</f>
        <v>苏晴</v>
      </c>
      <c r="C196" s="4" t="str">
        <f t="shared" si="34"/>
        <v xml:space="preserve">女        </v>
      </c>
      <c r="D196" s="4" t="str">
        <f t="shared" si="31"/>
        <v>汉族</v>
      </c>
      <c r="E196" s="5" t="str">
        <f>"广西师范学院师园学院汉语言文学"</f>
        <v>广西师范学院师园学院汉语言文学</v>
      </c>
      <c r="F196" s="5" t="str">
        <f>"本科学士"</f>
        <v>本科学士</v>
      </c>
      <c r="G196" s="6" t="str">
        <f>"是"</f>
        <v>是</v>
      </c>
      <c r="H196" s="6" t="str">
        <f t="shared" si="29"/>
        <v>小学</v>
      </c>
      <c r="I196" s="6" t="str">
        <f t="shared" si="30"/>
        <v>102:语文</v>
      </c>
      <c r="J196" s="4" t="s">
        <v>8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s="4" customFormat="1" ht="26.1" customHeight="1">
      <c r="A197" s="3">
        <v>195</v>
      </c>
      <c r="B197" s="4" t="str">
        <f>"李玉兰"</f>
        <v>李玉兰</v>
      </c>
      <c r="C197" s="4" t="str">
        <f t="shared" si="34"/>
        <v xml:space="preserve">女        </v>
      </c>
      <c r="D197" s="4" t="str">
        <f t="shared" si="31"/>
        <v>汉族</v>
      </c>
      <c r="E197" s="5" t="str">
        <f>"广西教育学院汉语"</f>
        <v>广西教育学院汉语</v>
      </c>
      <c r="F197" s="5" t="str">
        <f>"专科无学位"</f>
        <v>专科无学位</v>
      </c>
      <c r="G197" s="6" t="str">
        <f>"是"</f>
        <v>是</v>
      </c>
      <c r="H197" s="6" t="str">
        <f t="shared" si="29"/>
        <v>小学</v>
      </c>
      <c r="I197" s="6" t="str">
        <f t="shared" si="30"/>
        <v>102:语文</v>
      </c>
      <c r="J197" s="4" t="s">
        <v>8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s="4" customFormat="1" ht="26.1" customHeight="1">
      <c r="A198" s="3">
        <v>196</v>
      </c>
      <c r="B198" s="4" t="str">
        <f>"李昭萍"</f>
        <v>李昭萍</v>
      </c>
      <c r="C198" s="4" t="str">
        <f t="shared" si="34"/>
        <v xml:space="preserve">女        </v>
      </c>
      <c r="D198" s="4" t="str">
        <f t="shared" si="31"/>
        <v>汉族</v>
      </c>
      <c r="E198" s="5" t="str">
        <f>"广西师范大学学前教育"</f>
        <v>广西师范大学学前教育</v>
      </c>
      <c r="F198" s="5" t="str">
        <f>"本科学士"</f>
        <v>本科学士</v>
      </c>
      <c r="G198" s="6" t="str">
        <f>"是"</f>
        <v>是</v>
      </c>
      <c r="H198" s="6" t="str">
        <f t="shared" si="29"/>
        <v>小学</v>
      </c>
      <c r="I198" s="6" t="str">
        <f t="shared" si="30"/>
        <v>102:语文</v>
      </c>
      <c r="J198" s="4" t="s">
        <v>8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s="4" customFormat="1" ht="26.1" customHeight="1">
      <c r="A199" s="3">
        <v>197</v>
      </c>
      <c r="B199" s="4" t="str">
        <f>"庞国琼"</f>
        <v>庞国琼</v>
      </c>
      <c r="C199" s="4" t="str">
        <f t="shared" si="34"/>
        <v xml:space="preserve">女        </v>
      </c>
      <c r="D199" s="4" t="str">
        <f t="shared" si="31"/>
        <v>汉族</v>
      </c>
      <c r="E199" s="5" t="str">
        <f>"广西科技师范学院思想政治教育"</f>
        <v>广西科技师范学院思想政治教育</v>
      </c>
      <c r="F199" s="5" t="str">
        <f>"专科无学位"</f>
        <v>专科无学位</v>
      </c>
      <c r="G199" s="6" t="str">
        <f>"是"</f>
        <v>是</v>
      </c>
      <c r="H199" s="6" t="str">
        <f t="shared" si="29"/>
        <v>小学</v>
      </c>
      <c r="I199" s="6" t="str">
        <f t="shared" si="30"/>
        <v>102:语文</v>
      </c>
      <c r="J199" s="4" t="s">
        <v>8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s="4" customFormat="1" ht="26.1" customHeight="1">
      <c r="A200" s="3">
        <v>198</v>
      </c>
      <c r="B200" s="4" t="str">
        <f>"刘素君"</f>
        <v>刘素君</v>
      </c>
      <c r="C200" s="4" t="str">
        <f t="shared" si="34"/>
        <v xml:space="preserve">女        </v>
      </c>
      <c r="D200" s="4" t="str">
        <f t="shared" si="31"/>
        <v>汉族</v>
      </c>
      <c r="E200" s="5" t="str">
        <f>"河池学院新闻学"</f>
        <v>河池学院新闻学</v>
      </c>
      <c r="F200" s="5" t="str">
        <f>"本科学士"</f>
        <v>本科学士</v>
      </c>
      <c r="G200" s="6" t="str">
        <f>"不是"</f>
        <v>不是</v>
      </c>
      <c r="H200" s="6" t="str">
        <f t="shared" si="29"/>
        <v>小学</v>
      </c>
      <c r="I200" s="6" t="str">
        <f t="shared" si="30"/>
        <v>102:语文</v>
      </c>
      <c r="J200" s="4" t="s">
        <v>8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s="4" customFormat="1" ht="26.1" customHeight="1">
      <c r="A201" s="3">
        <v>199</v>
      </c>
      <c r="B201" s="4" t="str">
        <f>"钟燕华"</f>
        <v>钟燕华</v>
      </c>
      <c r="C201" s="4" t="str">
        <f t="shared" si="34"/>
        <v xml:space="preserve">女        </v>
      </c>
      <c r="D201" s="4" t="str">
        <f t="shared" si="31"/>
        <v>汉族</v>
      </c>
      <c r="E201" s="5" t="str">
        <f>"广西教育学院汉语专业"</f>
        <v>广西教育学院汉语专业</v>
      </c>
      <c r="F201" s="5" t="str">
        <f>"专科无学位"</f>
        <v>专科无学位</v>
      </c>
      <c r="G201" s="6" t="str">
        <f>"是"</f>
        <v>是</v>
      </c>
      <c r="H201" s="6" t="str">
        <f t="shared" ref="H201:H264" si="35">"小学"</f>
        <v>小学</v>
      </c>
      <c r="I201" s="6" t="str">
        <f t="shared" ref="I201:I264" si="36">"102:语文"</f>
        <v>102:语文</v>
      </c>
      <c r="J201" s="4" t="s">
        <v>8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s="4" customFormat="1" ht="26.1" customHeight="1">
      <c r="A202" s="3">
        <v>200</v>
      </c>
      <c r="B202" s="4" t="str">
        <f>"刘颖"</f>
        <v>刘颖</v>
      </c>
      <c r="C202" s="4" t="str">
        <f t="shared" si="34"/>
        <v xml:space="preserve">女        </v>
      </c>
      <c r="D202" s="4" t="str">
        <f t="shared" si="31"/>
        <v>汉族</v>
      </c>
      <c r="E202" s="5" t="str">
        <f>"广西师范学院师园学院小学教育"</f>
        <v>广西师范学院师园学院小学教育</v>
      </c>
      <c r="F202" s="5" t="str">
        <f>"本科学士"</f>
        <v>本科学士</v>
      </c>
      <c r="G202" s="6" t="str">
        <f>"是"</f>
        <v>是</v>
      </c>
      <c r="H202" s="6" t="str">
        <f t="shared" si="35"/>
        <v>小学</v>
      </c>
      <c r="I202" s="6" t="str">
        <f t="shared" si="36"/>
        <v>102:语文</v>
      </c>
      <c r="J202" s="4" t="s">
        <v>9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s="4" customFormat="1" ht="26.1" customHeight="1">
      <c r="A203" s="3">
        <v>201</v>
      </c>
      <c r="B203" s="4" t="str">
        <f>"朱晓婷"</f>
        <v>朱晓婷</v>
      </c>
      <c r="C203" s="4" t="str">
        <f t="shared" si="34"/>
        <v xml:space="preserve">女        </v>
      </c>
      <c r="D203" s="4" t="str">
        <f t="shared" si="31"/>
        <v>汉族</v>
      </c>
      <c r="E203" s="5" t="str">
        <f>"广西民族大学相思湖学院汉语言文学"</f>
        <v>广西民族大学相思湖学院汉语言文学</v>
      </c>
      <c r="F203" s="5" t="str">
        <f>"本科学士"</f>
        <v>本科学士</v>
      </c>
      <c r="G203" s="6" t="str">
        <f>"不是"</f>
        <v>不是</v>
      </c>
      <c r="H203" s="6" t="str">
        <f t="shared" si="35"/>
        <v>小学</v>
      </c>
      <c r="I203" s="6" t="str">
        <f t="shared" si="36"/>
        <v>102:语文</v>
      </c>
      <c r="J203" s="4" t="s">
        <v>9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s="4" customFormat="1" ht="26.1" customHeight="1">
      <c r="A204" s="3">
        <v>202</v>
      </c>
      <c r="B204" s="4" t="str">
        <f>"郭玥岐"</f>
        <v>郭玥岐</v>
      </c>
      <c r="C204" s="4" t="str">
        <f t="shared" si="34"/>
        <v xml:space="preserve">女        </v>
      </c>
      <c r="D204" s="4" t="str">
        <f t="shared" si="31"/>
        <v>汉族</v>
      </c>
      <c r="E204" s="5" t="str">
        <f>"玉林师范学院舞蹈学"</f>
        <v>玉林师范学院舞蹈学</v>
      </c>
      <c r="F204" s="5" t="str">
        <f>"本科学士"</f>
        <v>本科学士</v>
      </c>
      <c r="G204" s="6" t="str">
        <f>"是"</f>
        <v>是</v>
      </c>
      <c r="H204" s="6" t="str">
        <f t="shared" si="35"/>
        <v>小学</v>
      </c>
      <c r="I204" s="6" t="str">
        <f t="shared" si="36"/>
        <v>102:语文</v>
      </c>
      <c r="J204" s="4" t="s">
        <v>9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s="4" customFormat="1" ht="26.1" customHeight="1">
      <c r="A205" s="3">
        <v>203</v>
      </c>
      <c r="B205" s="4" t="str">
        <f>"王森晔"</f>
        <v>王森晔</v>
      </c>
      <c r="C205" s="4" t="str">
        <f t="shared" si="34"/>
        <v xml:space="preserve">女        </v>
      </c>
      <c r="D205" s="4" t="str">
        <f t="shared" si="31"/>
        <v>汉族</v>
      </c>
      <c r="E205" s="5" t="str">
        <f>"广西教育学院初等教育"</f>
        <v>广西教育学院初等教育</v>
      </c>
      <c r="F205" s="5" t="str">
        <f>"专科无学位"</f>
        <v>专科无学位</v>
      </c>
      <c r="G205" s="6" t="str">
        <f>"是"</f>
        <v>是</v>
      </c>
      <c r="H205" s="6" t="str">
        <f t="shared" si="35"/>
        <v>小学</v>
      </c>
      <c r="I205" s="6" t="str">
        <f t="shared" si="36"/>
        <v>102:语文</v>
      </c>
      <c r="J205" s="4" t="s">
        <v>9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s="4" customFormat="1" ht="26.1" customHeight="1">
      <c r="A206" s="3">
        <v>204</v>
      </c>
      <c r="B206" s="4" t="str">
        <f>"梁缓洁"</f>
        <v>梁缓洁</v>
      </c>
      <c r="C206" s="4" t="str">
        <f t="shared" si="34"/>
        <v xml:space="preserve">女        </v>
      </c>
      <c r="D206" s="4" t="str">
        <f t="shared" si="31"/>
        <v>汉族</v>
      </c>
      <c r="E206" s="5" t="str">
        <f>"广西师范学院师园学院国际经济与贸易"</f>
        <v>广西师范学院师园学院国际经济与贸易</v>
      </c>
      <c r="F206" s="5" t="str">
        <f>"本科学士"</f>
        <v>本科学士</v>
      </c>
      <c r="G206" s="6" t="str">
        <f>"不是"</f>
        <v>不是</v>
      </c>
      <c r="H206" s="6" t="str">
        <f t="shared" si="35"/>
        <v>小学</v>
      </c>
      <c r="I206" s="6" t="str">
        <f t="shared" si="36"/>
        <v>102:语文</v>
      </c>
      <c r="J206" s="4" t="s">
        <v>9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s="4" customFormat="1" ht="26.1" customHeight="1">
      <c r="A207" s="3">
        <v>205</v>
      </c>
      <c r="B207" s="4" t="str">
        <f>"林凌先"</f>
        <v>林凌先</v>
      </c>
      <c r="C207" s="4" t="str">
        <f t="shared" si="34"/>
        <v xml:space="preserve">女        </v>
      </c>
      <c r="D207" s="4" t="str">
        <f t="shared" si="31"/>
        <v>汉族</v>
      </c>
      <c r="E207" s="5" t="str">
        <f>"广西师范学院学前教育"</f>
        <v>广西师范学院学前教育</v>
      </c>
      <c r="F207" s="5" t="str">
        <f>"专科学士"</f>
        <v>专科学士</v>
      </c>
      <c r="G207" s="6" t="str">
        <f>"是"</f>
        <v>是</v>
      </c>
      <c r="H207" s="6" t="str">
        <f t="shared" si="35"/>
        <v>小学</v>
      </c>
      <c r="I207" s="6" t="str">
        <f t="shared" si="36"/>
        <v>102:语文</v>
      </c>
      <c r="J207" s="4" t="s">
        <v>9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s="4" customFormat="1" ht="26.1" customHeight="1">
      <c r="A208" s="3">
        <v>206</v>
      </c>
      <c r="B208" s="4" t="str">
        <f>"林芳"</f>
        <v>林芳</v>
      </c>
      <c r="C208" s="4" t="str">
        <f t="shared" si="34"/>
        <v xml:space="preserve">女        </v>
      </c>
      <c r="D208" s="4" t="str">
        <f t="shared" si="31"/>
        <v>汉族</v>
      </c>
      <c r="E208" s="5" t="str">
        <f>"广西南宁工业职业技术学院语文教育"</f>
        <v>广西南宁工业职业技术学院语文教育</v>
      </c>
      <c r="F208" s="5" t="str">
        <f>"专科无学位"</f>
        <v>专科无学位</v>
      </c>
      <c r="G208" s="6" t="str">
        <f>"是"</f>
        <v>是</v>
      </c>
      <c r="H208" s="6" t="str">
        <f t="shared" si="35"/>
        <v>小学</v>
      </c>
      <c r="I208" s="6" t="str">
        <f t="shared" si="36"/>
        <v>102:语文</v>
      </c>
      <c r="J208" s="4" t="s">
        <v>9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s="4" customFormat="1" ht="26.1" customHeight="1">
      <c r="A209" s="3">
        <v>207</v>
      </c>
      <c r="B209" s="4" t="str">
        <f>"许宇君"</f>
        <v>许宇君</v>
      </c>
      <c r="C209" s="4" t="str">
        <f t="shared" si="34"/>
        <v xml:space="preserve">女        </v>
      </c>
      <c r="D209" s="4" t="str">
        <f t="shared" si="31"/>
        <v>汉族</v>
      </c>
      <c r="E209" s="5" t="str">
        <f>"广西师范学院师园学院国际经济与贸易"</f>
        <v>广西师范学院师园学院国际经济与贸易</v>
      </c>
      <c r="F209" s="5" t="str">
        <f>"本科学士"</f>
        <v>本科学士</v>
      </c>
      <c r="G209" s="6" t="str">
        <f>"不是"</f>
        <v>不是</v>
      </c>
      <c r="H209" s="6" t="str">
        <f t="shared" si="35"/>
        <v>小学</v>
      </c>
      <c r="I209" s="6" t="str">
        <f t="shared" si="36"/>
        <v>102:语文</v>
      </c>
      <c r="J209" s="4" t="s">
        <v>9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s="4" customFormat="1" ht="26.1" customHeight="1">
      <c r="A210" s="3">
        <v>208</v>
      </c>
      <c r="B210" s="4" t="str">
        <f>"曾钰"</f>
        <v>曾钰</v>
      </c>
      <c r="C210" s="4" t="str">
        <f t="shared" si="34"/>
        <v xml:space="preserve">女        </v>
      </c>
      <c r="D210" s="4" t="str">
        <f t="shared" si="31"/>
        <v>汉族</v>
      </c>
      <c r="E210" s="5" t="str">
        <f>"重庆师范大学涉外商贸学院汉语言文学"</f>
        <v>重庆师范大学涉外商贸学院汉语言文学</v>
      </c>
      <c r="F210" s="5" t="str">
        <f>"本科学士"</f>
        <v>本科学士</v>
      </c>
      <c r="G210" s="6" t="str">
        <f t="shared" ref="G210:G215" si="37">"是"</f>
        <v>是</v>
      </c>
      <c r="H210" s="6" t="str">
        <f t="shared" si="35"/>
        <v>小学</v>
      </c>
      <c r="I210" s="6" t="str">
        <f t="shared" si="36"/>
        <v>102:语文</v>
      </c>
      <c r="J210" s="4" t="s">
        <v>9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s="4" customFormat="1" ht="26.1" customHeight="1">
      <c r="A211" s="3">
        <v>209</v>
      </c>
      <c r="B211" s="4" t="str">
        <f>"吴丹丹"</f>
        <v>吴丹丹</v>
      </c>
      <c r="C211" s="4" t="str">
        <f t="shared" si="34"/>
        <v xml:space="preserve">女        </v>
      </c>
      <c r="D211" s="4" t="str">
        <f t="shared" si="31"/>
        <v>汉族</v>
      </c>
      <c r="E211" s="5" t="str">
        <f>"广西科技师范学院汉语"</f>
        <v>广西科技师范学院汉语</v>
      </c>
      <c r="F211" s="5" t="str">
        <f>"专科无学位"</f>
        <v>专科无学位</v>
      </c>
      <c r="G211" s="6" t="str">
        <f t="shared" si="37"/>
        <v>是</v>
      </c>
      <c r="H211" s="6" t="str">
        <f t="shared" si="35"/>
        <v>小学</v>
      </c>
      <c r="I211" s="6" t="str">
        <f t="shared" si="36"/>
        <v>102:语文</v>
      </c>
      <c r="J211" s="4" t="s">
        <v>9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s="4" customFormat="1" ht="26.1" customHeight="1">
      <c r="A212" s="3">
        <v>210</v>
      </c>
      <c r="B212" s="4" t="str">
        <f>"梁文静"</f>
        <v>梁文静</v>
      </c>
      <c r="C212" s="4" t="str">
        <f t="shared" si="34"/>
        <v xml:space="preserve">女        </v>
      </c>
      <c r="D212" s="4" t="str">
        <f t="shared" si="31"/>
        <v>汉族</v>
      </c>
      <c r="E212" s="5" t="str">
        <f>"广西教育学院汉语"</f>
        <v>广西教育学院汉语</v>
      </c>
      <c r="F212" s="5" t="str">
        <f>"本科无学位"</f>
        <v>本科无学位</v>
      </c>
      <c r="G212" s="6" t="str">
        <f t="shared" si="37"/>
        <v>是</v>
      </c>
      <c r="H212" s="6" t="str">
        <f t="shared" si="35"/>
        <v>小学</v>
      </c>
      <c r="I212" s="6" t="str">
        <f t="shared" si="36"/>
        <v>102:语文</v>
      </c>
      <c r="J212" s="4" t="s">
        <v>9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s="4" customFormat="1" ht="26.1" customHeight="1">
      <c r="A213" s="3">
        <v>211</v>
      </c>
      <c r="B213" s="4" t="str">
        <f>"温丽娜"</f>
        <v>温丽娜</v>
      </c>
      <c r="C213" s="4" t="str">
        <f t="shared" si="34"/>
        <v xml:space="preserve">女        </v>
      </c>
      <c r="D213" s="4" t="str">
        <f t="shared" si="31"/>
        <v>汉族</v>
      </c>
      <c r="E213" s="5" t="str">
        <f>"广西师范大学文秘教育主修汉语言文学辅修"</f>
        <v>广西师范大学文秘教育主修汉语言文学辅修</v>
      </c>
      <c r="F213" s="5" t="str">
        <f>"本科学士"</f>
        <v>本科学士</v>
      </c>
      <c r="G213" s="6" t="str">
        <f t="shared" si="37"/>
        <v>是</v>
      </c>
      <c r="H213" s="6" t="str">
        <f t="shared" si="35"/>
        <v>小学</v>
      </c>
      <c r="I213" s="6" t="str">
        <f t="shared" si="36"/>
        <v>102:语文</v>
      </c>
      <c r="J213" s="4" t="s">
        <v>9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s="4" customFormat="1" ht="26.1" customHeight="1">
      <c r="A214" s="3">
        <v>212</v>
      </c>
      <c r="B214" s="4" t="str">
        <f>"肖丹"</f>
        <v>肖丹</v>
      </c>
      <c r="C214" s="4" t="str">
        <f t="shared" si="34"/>
        <v xml:space="preserve">女        </v>
      </c>
      <c r="D214" s="4" t="str">
        <f t="shared" si="31"/>
        <v>汉族</v>
      </c>
      <c r="E214" s="5" t="str">
        <f>"邯郸学院对外汉语"</f>
        <v>邯郸学院对外汉语</v>
      </c>
      <c r="F214" s="5" t="str">
        <f>"本科学士"</f>
        <v>本科学士</v>
      </c>
      <c r="G214" s="6" t="str">
        <f t="shared" si="37"/>
        <v>是</v>
      </c>
      <c r="H214" s="6" t="str">
        <f t="shared" si="35"/>
        <v>小学</v>
      </c>
      <c r="I214" s="6" t="str">
        <f t="shared" si="36"/>
        <v>102:语文</v>
      </c>
      <c r="J214" s="4" t="s">
        <v>9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s="4" customFormat="1" ht="26.1" customHeight="1">
      <c r="A215" s="3">
        <v>213</v>
      </c>
      <c r="B215" s="4" t="str">
        <f>"黎文雯"</f>
        <v>黎文雯</v>
      </c>
      <c r="C215" s="4" t="str">
        <f t="shared" si="34"/>
        <v xml:space="preserve">女        </v>
      </c>
      <c r="D215" s="4" t="str">
        <f t="shared" si="31"/>
        <v>汉族</v>
      </c>
      <c r="E215" s="5" t="str">
        <f>"桂林师范高等专科学校汉语"</f>
        <v>桂林师范高等专科学校汉语</v>
      </c>
      <c r="F215" s="5" t="str">
        <f>"专科学士"</f>
        <v>专科学士</v>
      </c>
      <c r="G215" s="6" t="str">
        <f t="shared" si="37"/>
        <v>是</v>
      </c>
      <c r="H215" s="6" t="str">
        <f t="shared" si="35"/>
        <v>小学</v>
      </c>
      <c r="I215" s="6" t="str">
        <f t="shared" si="36"/>
        <v>102:语文</v>
      </c>
      <c r="J215" s="4" t="s">
        <v>9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s="4" customFormat="1" ht="26.1" customHeight="1">
      <c r="A216" s="3">
        <v>214</v>
      </c>
      <c r="B216" s="4" t="str">
        <f>"林美池"</f>
        <v>林美池</v>
      </c>
      <c r="C216" s="4" t="str">
        <f t="shared" si="34"/>
        <v xml:space="preserve">女        </v>
      </c>
      <c r="D216" s="4" t="str">
        <f t="shared" si="31"/>
        <v>汉族</v>
      </c>
      <c r="E216" s="5" t="str">
        <f>"梧州学院汉语言文学"</f>
        <v>梧州学院汉语言文学</v>
      </c>
      <c r="F216" s="5" t="str">
        <f>"本科学士"</f>
        <v>本科学士</v>
      </c>
      <c r="G216" s="6" t="str">
        <f>"不是"</f>
        <v>不是</v>
      </c>
      <c r="H216" s="6" t="str">
        <f t="shared" si="35"/>
        <v>小学</v>
      </c>
      <c r="I216" s="6" t="str">
        <f t="shared" si="36"/>
        <v>102:语文</v>
      </c>
      <c r="J216" s="4" t="s">
        <v>9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s="4" customFormat="1" ht="26.1" customHeight="1">
      <c r="A217" s="3">
        <v>215</v>
      </c>
      <c r="B217" s="4" t="str">
        <f>"胡洁华"</f>
        <v>胡洁华</v>
      </c>
      <c r="C217" s="4" t="str">
        <f t="shared" si="34"/>
        <v xml:space="preserve">女        </v>
      </c>
      <c r="D217" s="4" t="str">
        <f t="shared" si="31"/>
        <v>汉族</v>
      </c>
      <c r="E217" s="5" t="str">
        <f>"玉林师范学院小学教育"</f>
        <v>玉林师范学院小学教育</v>
      </c>
      <c r="F217" s="5" t="str">
        <f>"本科学士"</f>
        <v>本科学士</v>
      </c>
      <c r="G217" s="6" t="str">
        <f>"是"</f>
        <v>是</v>
      </c>
      <c r="H217" s="6" t="str">
        <f t="shared" si="35"/>
        <v>小学</v>
      </c>
      <c r="I217" s="6" t="str">
        <f t="shared" si="36"/>
        <v>102:语文</v>
      </c>
      <c r="J217" s="4" t="s">
        <v>9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s="4" customFormat="1" ht="26.1" customHeight="1">
      <c r="A218" s="3">
        <v>216</v>
      </c>
      <c r="B218" s="4" t="str">
        <f>"凌雪梅"</f>
        <v>凌雪梅</v>
      </c>
      <c r="C218" s="4" t="str">
        <f t="shared" si="34"/>
        <v xml:space="preserve">女        </v>
      </c>
      <c r="D218" s="4" t="str">
        <f t="shared" si="31"/>
        <v>汉族</v>
      </c>
      <c r="E218" s="5" t="str">
        <f>"湖南工学院国际经济与贸易"</f>
        <v>湖南工学院国际经济与贸易</v>
      </c>
      <c r="F218" s="5" t="str">
        <f>"本科学士"</f>
        <v>本科学士</v>
      </c>
      <c r="G218" s="6" t="str">
        <f>"不是"</f>
        <v>不是</v>
      </c>
      <c r="H218" s="6" t="str">
        <f t="shared" si="35"/>
        <v>小学</v>
      </c>
      <c r="I218" s="6" t="str">
        <f t="shared" si="36"/>
        <v>102:语文</v>
      </c>
      <c r="J218" s="4" t="s">
        <v>9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s="4" customFormat="1" ht="26.1" customHeight="1">
      <c r="A219" s="3">
        <v>217</v>
      </c>
      <c r="B219" s="4" t="str">
        <f>"邓敏"</f>
        <v>邓敏</v>
      </c>
      <c r="C219" s="4" t="str">
        <f t="shared" si="34"/>
        <v xml:space="preserve">女        </v>
      </c>
      <c r="D219" s="4" t="str">
        <f t="shared" si="31"/>
        <v>汉族</v>
      </c>
      <c r="E219" s="5" t="str">
        <f>"广西科技师范学院语文教育"</f>
        <v>广西科技师范学院语文教育</v>
      </c>
      <c r="F219" s="5" t="str">
        <f>"专科无学位"</f>
        <v>专科无学位</v>
      </c>
      <c r="G219" s="6" t="str">
        <f>"是"</f>
        <v>是</v>
      </c>
      <c r="H219" s="6" t="str">
        <f t="shared" si="35"/>
        <v>小学</v>
      </c>
      <c r="I219" s="6" t="str">
        <f t="shared" si="36"/>
        <v>102:语文</v>
      </c>
      <c r="J219" s="4" t="s">
        <v>9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s="4" customFormat="1" ht="26.1" customHeight="1">
      <c r="A220" s="3">
        <v>218</v>
      </c>
      <c r="B220" s="4" t="str">
        <f>"古怡"</f>
        <v>古怡</v>
      </c>
      <c r="C220" s="4" t="str">
        <f t="shared" si="34"/>
        <v xml:space="preserve">女        </v>
      </c>
      <c r="D220" s="4" t="str">
        <f t="shared" si="31"/>
        <v>汉族</v>
      </c>
      <c r="E220" s="5" t="str">
        <f>"广西教育学院汉语"</f>
        <v>广西教育学院汉语</v>
      </c>
      <c r="F220" s="5" t="str">
        <f>"专科无学位"</f>
        <v>专科无学位</v>
      </c>
      <c r="G220" s="6" t="str">
        <f>"是"</f>
        <v>是</v>
      </c>
      <c r="H220" s="6" t="str">
        <f t="shared" si="35"/>
        <v>小学</v>
      </c>
      <c r="I220" s="6" t="str">
        <f t="shared" si="36"/>
        <v>102:语文</v>
      </c>
      <c r="J220" s="4" t="s">
        <v>9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s="4" customFormat="1" ht="26.1" customHeight="1">
      <c r="A221" s="3">
        <v>219</v>
      </c>
      <c r="B221" s="4" t="str">
        <f>"尤娆"</f>
        <v>尤娆</v>
      </c>
      <c r="C221" s="4" t="str">
        <f t="shared" si="34"/>
        <v xml:space="preserve">女        </v>
      </c>
      <c r="D221" s="4" t="str">
        <f t="shared" si="31"/>
        <v>汉族</v>
      </c>
      <c r="E221" s="5" t="str">
        <f>"柳州师范高等专科学校汉语"</f>
        <v>柳州师范高等专科学校汉语</v>
      </c>
      <c r="F221" s="5" t="str">
        <f>"专科无学位"</f>
        <v>专科无学位</v>
      </c>
      <c r="G221" s="6" t="str">
        <f>"是"</f>
        <v>是</v>
      </c>
      <c r="H221" s="6" t="str">
        <f t="shared" si="35"/>
        <v>小学</v>
      </c>
      <c r="I221" s="6" t="str">
        <f t="shared" si="36"/>
        <v>102:语文</v>
      </c>
      <c r="J221" s="4" t="s">
        <v>9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s="4" customFormat="1" ht="26.1" customHeight="1">
      <c r="A222" s="3">
        <v>220</v>
      </c>
      <c r="B222" s="4" t="str">
        <f>"宋永琪"</f>
        <v>宋永琪</v>
      </c>
      <c r="C222" s="4" t="str">
        <f t="shared" si="34"/>
        <v xml:space="preserve">女        </v>
      </c>
      <c r="D222" s="4" t="str">
        <f t="shared" si="31"/>
        <v>汉族</v>
      </c>
      <c r="E222" s="5" t="str">
        <f>"广西梧州学院汉语言文学"</f>
        <v>广西梧州学院汉语言文学</v>
      </c>
      <c r="F222" s="5" t="str">
        <f>"本科学士"</f>
        <v>本科学士</v>
      </c>
      <c r="G222" s="6" t="str">
        <f>"不是"</f>
        <v>不是</v>
      </c>
      <c r="H222" s="6" t="str">
        <f t="shared" si="35"/>
        <v>小学</v>
      </c>
      <c r="I222" s="6" t="str">
        <f t="shared" si="36"/>
        <v>102:语文</v>
      </c>
      <c r="J222" s="4" t="s">
        <v>9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s="4" customFormat="1" ht="26.1" customHeight="1">
      <c r="A223" s="3">
        <v>221</v>
      </c>
      <c r="B223" s="4" t="str">
        <f>"宋伟烦"</f>
        <v>宋伟烦</v>
      </c>
      <c r="C223" s="4" t="str">
        <f t="shared" si="34"/>
        <v xml:space="preserve">女        </v>
      </c>
      <c r="D223" s="4" t="str">
        <f t="shared" si="31"/>
        <v>汉族</v>
      </c>
      <c r="E223" s="5" t="str">
        <f>"广西师范大学漓江学院国际经济与贸易"</f>
        <v>广西师范大学漓江学院国际经济与贸易</v>
      </c>
      <c r="F223" s="5" t="str">
        <f>"本科学士"</f>
        <v>本科学士</v>
      </c>
      <c r="G223" s="6" t="str">
        <f>"不是"</f>
        <v>不是</v>
      </c>
      <c r="H223" s="6" t="str">
        <f t="shared" si="35"/>
        <v>小学</v>
      </c>
      <c r="I223" s="6" t="str">
        <f t="shared" si="36"/>
        <v>102:语文</v>
      </c>
      <c r="J223" s="4" t="s">
        <v>9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s="4" customFormat="1" ht="26.1" customHeight="1">
      <c r="A224" s="3">
        <v>222</v>
      </c>
      <c r="B224" s="4" t="str">
        <f>"余彩先"</f>
        <v>余彩先</v>
      </c>
      <c r="C224" s="4" t="str">
        <f t="shared" si="34"/>
        <v xml:space="preserve">女        </v>
      </c>
      <c r="D224" s="4" t="str">
        <f t="shared" si="31"/>
        <v>汉族</v>
      </c>
      <c r="E224" s="5" t="str">
        <f>"广西教育学院初等教育"</f>
        <v>广西教育学院初等教育</v>
      </c>
      <c r="F224" s="5" t="str">
        <f>"专科无学位"</f>
        <v>专科无学位</v>
      </c>
      <c r="G224" s="6" t="str">
        <f t="shared" ref="G224:G230" si="38">"是"</f>
        <v>是</v>
      </c>
      <c r="H224" s="6" t="str">
        <f t="shared" si="35"/>
        <v>小学</v>
      </c>
      <c r="I224" s="6" t="str">
        <f t="shared" si="36"/>
        <v>102:语文</v>
      </c>
      <c r="J224" s="4" t="s">
        <v>9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s="4" customFormat="1" ht="26.1" customHeight="1">
      <c r="A225" s="3">
        <v>223</v>
      </c>
      <c r="B225" s="4" t="str">
        <f>"罗舒瑶"</f>
        <v>罗舒瑶</v>
      </c>
      <c r="C225" s="4" t="str">
        <f t="shared" si="34"/>
        <v xml:space="preserve">女        </v>
      </c>
      <c r="D225" s="4" t="str">
        <f t="shared" si="31"/>
        <v>汉族</v>
      </c>
      <c r="E225" s="5" t="str">
        <f>"广西师范大学旅游管理"</f>
        <v>广西师范大学旅游管理</v>
      </c>
      <c r="F225" s="5" t="str">
        <f>"本科学士"</f>
        <v>本科学士</v>
      </c>
      <c r="G225" s="6" t="str">
        <f t="shared" si="38"/>
        <v>是</v>
      </c>
      <c r="H225" s="6" t="str">
        <f t="shared" si="35"/>
        <v>小学</v>
      </c>
      <c r="I225" s="6" t="str">
        <f t="shared" si="36"/>
        <v>102:语文</v>
      </c>
      <c r="J225" s="4" t="s">
        <v>9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s="4" customFormat="1" ht="26.1" customHeight="1">
      <c r="A226" s="3">
        <v>224</v>
      </c>
      <c r="B226" s="4" t="str">
        <f>"李海怡"</f>
        <v>李海怡</v>
      </c>
      <c r="C226" s="4" t="str">
        <f t="shared" si="34"/>
        <v xml:space="preserve">女        </v>
      </c>
      <c r="D226" s="4" t="str">
        <f t="shared" si="31"/>
        <v>汉族</v>
      </c>
      <c r="E226" s="5" t="str">
        <f>"玉林师范学院小学教育"</f>
        <v>玉林师范学院小学教育</v>
      </c>
      <c r="F226" s="5" t="str">
        <f>"本科学士"</f>
        <v>本科学士</v>
      </c>
      <c r="G226" s="6" t="str">
        <f t="shared" si="38"/>
        <v>是</v>
      </c>
      <c r="H226" s="6" t="str">
        <f t="shared" si="35"/>
        <v>小学</v>
      </c>
      <c r="I226" s="6" t="str">
        <f t="shared" si="36"/>
        <v>102:语文</v>
      </c>
      <c r="J226" s="4" t="s">
        <v>9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s="4" customFormat="1" ht="26.1" customHeight="1">
      <c r="A227" s="3">
        <v>225</v>
      </c>
      <c r="B227" s="4" t="str">
        <f>"冯艺"</f>
        <v>冯艺</v>
      </c>
      <c r="C227" s="4" t="str">
        <f t="shared" si="34"/>
        <v xml:space="preserve">女        </v>
      </c>
      <c r="D227" s="4" t="str">
        <f t="shared" si="31"/>
        <v>汉族</v>
      </c>
      <c r="E227" s="5" t="str">
        <f>"广西幼儿师范高等专科学校特殊教育"</f>
        <v>广西幼儿师范高等专科学校特殊教育</v>
      </c>
      <c r="F227" s="5" t="str">
        <f>"专科无学位"</f>
        <v>专科无学位</v>
      </c>
      <c r="G227" s="6" t="str">
        <f t="shared" si="38"/>
        <v>是</v>
      </c>
      <c r="H227" s="6" t="str">
        <f t="shared" si="35"/>
        <v>小学</v>
      </c>
      <c r="I227" s="6" t="str">
        <f t="shared" si="36"/>
        <v>102:语文</v>
      </c>
      <c r="J227" s="4" t="s">
        <v>9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s="4" customFormat="1" ht="26.1" customHeight="1">
      <c r="A228" s="3">
        <v>226</v>
      </c>
      <c r="B228" s="4" t="str">
        <f>"李春安"</f>
        <v>李春安</v>
      </c>
      <c r="C228" s="4" t="str">
        <f>"男        "</f>
        <v xml:space="preserve">男        </v>
      </c>
      <c r="D228" s="4" t="str">
        <f t="shared" si="31"/>
        <v>汉族</v>
      </c>
      <c r="E228" s="5" t="str">
        <f>"广西师范学院师园学院小学教育"</f>
        <v>广西师范学院师园学院小学教育</v>
      </c>
      <c r="F228" s="5" t="str">
        <f>"本科学士"</f>
        <v>本科学士</v>
      </c>
      <c r="G228" s="6" t="str">
        <f t="shared" si="38"/>
        <v>是</v>
      </c>
      <c r="H228" s="6" t="str">
        <f t="shared" si="35"/>
        <v>小学</v>
      </c>
      <c r="I228" s="6" t="str">
        <f t="shared" si="36"/>
        <v>102:语文</v>
      </c>
      <c r="J228" s="4" t="s">
        <v>9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s="4" customFormat="1" ht="26.1" customHeight="1">
      <c r="A229" s="3">
        <v>227</v>
      </c>
      <c r="B229" s="4" t="str">
        <f>"刘志豪"</f>
        <v>刘志豪</v>
      </c>
      <c r="C229" s="4" t="str">
        <f>"男        "</f>
        <v xml:space="preserve">男        </v>
      </c>
      <c r="D229" s="4" t="str">
        <f t="shared" si="31"/>
        <v>汉族</v>
      </c>
      <c r="E229" s="5" t="str">
        <f>"广西师范大学漓江学院汉语言文学"</f>
        <v>广西师范大学漓江学院汉语言文学</v>
      </c>
      <c r="F229" s="5" t="str">
        <f>"本科学士"</f>
        <v>本科学士</v>
      </c>
      <c r="G229" s="6" t="str">
        <f t="shared" si="38"/>
        <v>是</v>
      </c>
      <c r="H229" s="6" t="str">
        <f t="shared" si="35"/>
        <v>小学</v>
      </c>
      <c r="I229" s="6" t="str">
        <f t="shared" si="36"/>
        <v>102:语文</v>
      </c>
      <c r="J229" s="4" t="s">
        <v>9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s="4" customFormat="1" ht="26.1" customHeight="1">
      <c r="A230" s="3">
        <v>228</v>
      </c>
      <c r="B230" s="4" t="str">
        <f>"王丽萍"</f>
        <v>王丽萍</v>
      </c>
      <c r="C230" s="4" t="str">
        <f t="shared" ref="C230:C241" si="39">"女        "</f>
        <v xml:space="preserve">女        </v>
      </c>
      <c r="D230" s="4" t="str">
        <f t="shared" si="31"/>
        <v>汉族</v>
      </c>
      <c r="E230" s="5" t="str">
        <f>"广西民族师范学院综合文科教育"</f>
        <v>广西民族师范学院综合文科教育</v>
      </c>
      <c r="F230" s="5" t="str">
        <f>"专科无学位"</f>
        <v>专科无学位</v>
      </c>
      <c r="G230" s="6" t="str">
        <f t="shared" si="38"/>
        <v>是</v>
      </c>
      <c r="H230" s="6" t="str">
        <f t="shared" si="35"/>
        <v>小学</v>
      </c>
      <c r="I230" s="6" t="str">
        <f t="shared" si="36"/>
        <v>102:语文</v>
      </c>
      <c r="J230" s="4" t="s">
        <v>9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s="4" customFormat="1" ht="26.1" customHeight="1">
      <c r="A231" s="3">
        <v>229</v>
      </c>
      <c r="B231" s="4" t="str">
        <f>"梁莹莹"</f>
        <v>梁莹莹</v>
      </c>
      <c r="C231" s="4" t="str">
        <f t="shared" si="39"/>
        <v xml:space="preserve">女        </v>
      </c>
      <c r="D231" s="4" t="str">
        <f t="shared" si="31"/>
        <v>汉族</v>
      </c>
      <c r="E231" s="5" t="str">
        <f>"西华大学产品设计"</f>
        <v>西华大学产品设计</v>
      </c>
      <c r="F231" s="5" t="str">
        <f>"本科学士"</f>
        <v>本科学士</v>
      </c>
      <c r="G231" s="6" t="str">
        <f>"不是"</f>
        <v>不是</v>
      </c>
      <c r="H231" s="6" t="str">
        <f t="shared" si="35"/>
        <v>小学</v>
      </c>
      <c r="I231" s="6" t="str">
        <f t="shared" si="36"/>
        <v>102:语文</v>
      </c>
      <c r="J231" s="4" t="s">
        <v>9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s="4" customFormat="1" ht="26.1" customHeight="1">
      <c r="A232" s="3">
        <v>230</v>
      </c>
      <c r="B232" s="4" t="str">
        <f>"曾庆云"</f>
        <v>曾庆云</v>
      </c>
      <c r="C232" s="4" t="str">
        <f t="shared" si="39"/>
        <v xml:space="preserve">女        </v>
      </c>
      <c r="D232" s="4" t="str">
        <f t="shared" si="31"/>
        <v>汉族</v>
      </c>
      <c r="E232" s="5" t="str">
        <f>"广西教育学院汉语"</f>
        <v>广西教育学院汉语</v>
      </c>
      <c r="F232" s="5" t="str">
        <f>"专科无学位"</f>
        <v>专科无学位</v>
      </c>
      <c r="G232" s="6" t="str">
        <f>"是"</f>
        <v>是</v>
      </c>
      <c r="H232" s="6" t="str">
        <f t="shared" si="35"/>
        <v>小学</v>
      </c>
      <c r="I232" s="6" t="str">
        <f t="shared" si="36"/>
        <v>102:语文</v>
      </c>
      <c r="J232" s="4" t="s">
        <v>9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s="4" customFormat="1" ht="26.1" customHeight="1">
      <c r="A233" s="3">
        <v>231</v>
      </c>
      <c r="B233" s="4" t="str">
        <f>"陈美芳"</f>
        <v>陈美芳</v>
      </c>
      <c r="C233" s="4" t="str">
        <f t="shared" si="39"/>
        <v xml:space="preserve">女        </v>
      </c>
      <c r="D233" s="4" t="str">
        <f t="shared" si="31"/>
        <v>汉族</v>
      </c>
      <c r="E233" s="5" t="str">
        <f>"广西民族大学旅游管理"</f>
        <v>广西民族大学旅游管理</v>
      </c>
      <c r="F233" s="5" t="str">
        <f>"本科学士"</f>
        <v>本科学士</v>
      </c>
      <c r="G233" s="6" t="str">
        <f>"不是"</f>
        <v>不是</v>
      </c>
      <c r="H233" s="6" t="str">
        <f t="shared" si="35"/>
        <v>小学</v>
      </c>
      <c r="I233" s="6" t="str">
        <f t="shared" si="36"/>
        <v>102:语文</v>
      </c>
      <c r="J233" s="4" t="s">
        <v>9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s="4" customFormat="1" ht="26.1" customHeight="1">
      <c r="A234" s="3">
        <v>232</v>
      </c>
      <c r="B234" s="4" t="str">
        <f>"李家玲"</f>
        <v>李家玲</v>
      </c>
      <c r="C234" s="4" t="str">
        <f t="shared" si="39"/>
        <v xml:space="preserve">女        </v>
      </c>
      <c r="D234" s="4" t="str">
        <f t="shared" si="31"/>
        <v>汉族</v>
      </c>
      <c r="E234" s="5" t="str">
        <f>"广西外国语学院汉语言文学"</f>
        <v>广西外国语学院汉语言文学</v>
      </c>
      <c r="F234" s="5" t="str">
        <f>"本科学士"</f>
        <v>本科学士</v>
      </c>
      <c r="G234" s="6" t="str">
        <f>"不是"</f>
        <v>不是</v>
      </c>
      <c r="H234" s="6" t="str">
        <f t="shared" si="35"/>
        <v>小学</v>
      </c>
      <c r="I234" s="6" t="str">
        <f t="shared" si="36"/>
        <v>102:语文</v>
      </c>
      <c r="J234" s="4" t="s">
        <v>9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s="4" customFormat="1" ht="26.1" customHeight="1">
      <c r="A235" s="3">
        <v>233</v>
      </c>
      <c r="B235" s="4" t="str">
        <f>"冯燕君"</f>
        <v>冯燕君</v>
      </c>
      <c r="C235" s="4" t="str">
        <f t="shared" si="39"/>
        <v xml:space="preserve">女        </v>
      </c>
      <c r="D235" s="4" t="str">
        <f t="shared" ref="D235:D256" si="40">"汉族"</f>
        <v>汉族</v>
      </c>
      <c r="E235" s="5" t="str">
        <f>"梧州学院汉语言文学"</f>
        <v>梧州学院汉语言文学</v>
      </c>
      <c r="F235" s="5" t="str">
        <f>"本科学士"</f>
        <v>本科学士</v>
      </c>
      <c r="G235" s="6" t="str">
        <f>"不是"</f>
        <v>不是</v>
      </c>
      <c r="H235" s="6" t="str">
        <f t="shared" si="35"/>
        <v>小学</v>
      </c>
      <c r="I235" s="6" t="str">
        <f t="shared" si="36"/>
        <v>102:语文</v>
      </c>
      <c r="J235" s="4" t="s">
        <v>9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s="4" customFormat="1" ht="26.1" customHeight="1">
      <c r="A236" s="3">
        <v>234</v>
      </c>
      <c r="B236" s="4" t="str">
        <f>"韦晓琼"</f>
        <v>韦晓琼</v>
      </c>
      <c r="C236" s="4" t="str">
        <f t="shared" si="39"/>
        <v xml:space="preserve">女        </v>
      </c>
      <c r="D236" s="4" t="str">
        <f t="shared" si="40"/>
        <v>汉族</v>
      </c>
      <c r="E236" s="5" t="str">
        <f>"桂林师范高等专科学校初等教育"</f>
        <v>桂林师范高等专科学校初等教育</v>
      </c>
      <c r="F236" s="5" t="str">
        <f>"专科无学位"</f>
        <v>专科无学位</v>
      </c>
      <c r="G236" s="6" t="str">
        <f>"是"</f>
        <v>是</v>
      </c>
      <c r="H236" s="6" t="str">
        <f t="shared" si="35"/>
        <v>小学</v>
      </c>
      <c r="I236" s="6" t="str">
        <f t="shared" si="36"/>
        <v>102:语文</v>
      </c>
      <c r="J236" s="4" t="s">
        <v>9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s="4" customFormat="1" ht="26.1" customHeight="1">
      <c r="A237" s="3">
        <v>235</v>
      </c>
      <c r="B237" s="4" t="str">
        <f>"黎佳佳"</f>
        <v>黎佳佳</v>
      </c>
      <c r="C237" s="4" t="str">
        <f t="shared" si="39"/>
        <v xml:space="preserve">女        </v>
      </c>
      <c r="D237" s="4" t="str">
        <f t="shared" si="40"/>
        <v>汉族</v>
      </c>
      <c r="E237" s="5" t="str">
        <f>"广西师范大学漓江学院国际经济与贸易"</f>
        <v>广西师范大学漓江学院国际经济与贸易</v>
      </c>
      <c r="F237" s="5" t="str">
        <f>"本科学士"</f>
        <v>本科学士</v>
      </c>
      <c r="G237" s="6" t="str">
        <f>"不是"</f>
        <v>不是</v>
      </c>
      <c r="H237" s="6" t="str">
        <f t="shared" si="35"/>
        <v>小学</v>
      </c>
      <c r="I237" s="6" t="str">
        <f t="shared" si="36"/>
        <v>102:语文</v>
      </c>
      <c r="J237" s="4" t="s">
        <v>9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s="4" customFormat="1" ht="26.1" customHeight="1">
      <c r="A238" s="3">
        <v>236</v>
      </c>
      <c r="B238" s="4" t="str">
        <f>"黄玉婷"</f>
        <v>黄玉婷</v>
      </c>
      <c r="C238" s="4" t="str">
        <f t="shared" si="39"/>
        <v xml:space="preserve">女        </v>
      </c>
      <c r="D238" s="4" t="str">
        <f t="shared" si="40"/>
        <v>汉族</v>
      </c>
      <c r="E238" s="5" t="str">
        <f>"梧州学院汉语言文学汉语言文学方向"</f>
        <v>梧州学院汉语言文学汉语言文学方向</v>
      </c>
      <c r="F238" s="5" t="str">
        <f>"本科学士"</f>
        <v>本科学士</v>
      </c>
      <c r="G238" s="6" t="str">
        <f>"不是"</f>
        <v>不是</v>
      </c>
      <c r="H238" s="6" t="str">
        <f t="shared" si="35"/>
        <v>小学</v>
      </c>
      <c r="I238" s="6" t="str">
        <f t="shared" si="36"/>
        <v>102:语文</v>
      </c>
      <c r="J238" s="4" t="s">
        <v>9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s="4" customFormat="1" ht="26.1" customHeight="1">
      <c r="A239" s="3">
        <v>237</v>
      </c>
      <c r="B239" s="4" t="str">
        <f>"陈友丽"</f>
        <v>陈友丽</v>
      </c>
      <c r="C239" s="4" t="str">
        <f t="shared" si="39"/>
        <v xml:space="preserve">女        </v>
      </c>
      <c r="D239" s="4" t="str">
        <f t="shared" si="40"/>
        <v>汉族</v>
      </c>
      <c r="E239" s="5" t="str">
        <f>"河池学院小学教育语文方向"</f>
        <v>河池学院小学教育语文方向</v>
      </c>
      <c r="F239" s="5" t="str">
        <f>"本科学士"</f>
        <v>本科学士</v>
      </c>
      <c r="G239" s="6" t="str">
        <f t="shared" ref="G239:G252" si="41">"是"</f>
        <v>是</v>
      </c>
      <c r="H239" s="6" t="str">
        <f t="shared" si="35"/>
        <v>小学</v>
      </c>
      <c r="I239" s="6" t="str">
        <f t="shared" si="36"/>
        <v>102:语文</v>
      </c>
      <c r="J239" s="4" t="s">
        <v>9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s="4" customFormat="1" ht="26.1" customHeight="1">
      <c r="A240" s="3">
        <v>238</v>
      </c>
      <c r="B240" s="4" t="str">
        <f>"苏佩菲"</f>
        <v>苏佩菲</v>
      </c>
      <c r="C240" s="4" t="str">
        <f t="shared" si="39"/>
        <v xml:space="preserve">女        </v>
      </c>
      <c r="D240" s="4" t="str">
        <f t="shared" si="40"/>
        <v>汉族</v>
      </c>
      <c r="E240" s="5" t="str">
        <f>"广西师范学院小学教育专业"</f>
        <v>广西师范学院小学教育专业</v>
      </c>
      <c r="F240" s="5" t="str">
        <f>"本科学士"</f>
        <v>本科学士</v>
      </c>
      <c r="G240" s="6" t="str">
        <f t="shared" si="41"/>
        <v>是</v>
      </c>
      <c r="H240" s="6" t="str">
        <f t="shared" si="35"/>
        <v>小学</v>
      </c>
      <c r="I240" s="6" t="str">
        <f t="shared" si="36"/>
        <v>102:语文</v>
      </c>
      <c r="J240" s="4" t="s">
        <v>9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s="4" customFormat="1" ht="26.1" customHeight="1">
      <c r="A241" s="3">
        <v>239</v>
      </c>
      <c r="B241" s="4" t="str">
        <f>"樊壹清"</f>
        <v>樊壹清</v>
      </c>
      <c r="C241" s="4" t="str">
        <f t="shared" si="39"/>
        <v xml:space="preserve">女        </v>
      </c>
      <c r="D241" s="4" t="str">
        <f t="shared" si="40"/>
        <v>汉族</v>
      </c>
      <c r="E241" s="5" t="str">
        <f>"南宁地区教育学院语文教育"</f>
        <v>南宁地区教育学院语文教育</v>
      </c>
      <c r="F241" s="5" t="str">
        <f>"专科无学位"</f>
        <v>专科无学位</v>
      </c>
      <c r="G241" s="6" t="str">
        <f t="shared" si="41"/>
        <v>是</v>
      </c>
      <c r="H241" s="6" t="str">
        <f t="shared" si="35"/>
        <v>小学</v>
      </c>
      <c r="I241" s="6" t="str">
        <f t="shared" si="36"/>
        <v>102:语文</v>
      </c>
      <c r="J241" s="4" t="s">
        <v>9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s="4" customFormat="1" ht="26.1" customHeight="1">
      <c r="A242" s="3">
        <v>240</v>
      </c>
      <c r="B242" s="4" t="str">
        <f>"田振强"</f>
        <v>田振强</v>
      </c>
      <c r="C242" s="4" t="str">
        <f>"男        "</f>
        <v xml:space="preserve">男        </v>
      </c>
      <c r="D242" s="4" t="str">
        <f t="shared" si="40"/>
        <v>汉族</v>
      </c>
      <c r="E242" s="5" t="str">
        <f>"广西科技师范学院语文教育"</f>
        <v>广西科技师范学院语文教育</v>
      </c>
      <c r="F242" s="5" t="str">
        <f>"专科无学位"</f>
        <v>专科无学位</v>
      </c>
      <c r="G242" s="6" t="str">
        <f t="shared" si="41"/>
        <v>是</v>
      </c>
      <c r="H242" s="6" t="str">
        <f t="shared" si="35"/>
        <v>小学</v>
      </c>
      <c r="I242" s="6" t="str">
        <f t="shared" si="36"/>
        <v>102:语文</v>
      </c>
      <c r="J242" s="4" t="s">
        <v>9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s="4" customFormat="1" ht="26.1" customHeight="1">
      <c r="A243" s="3">
        <v>241</v>
      </c>
      <c r="B243" s="4" t="str">
        <f>"杨咏绮"</f>
        <v>杨咏绮</v>
      </c>
      <c r="C243" s="4" t="str">
        <f t="shared" ref="C243:C259" si="42">"女        "</f>
        <v xml:space="preserve">女        </v>
      </c>
      <c r="D243" s="4" t="str">
        <f t="shared" si="40"/>
        <v>汉族</v>
      </c>
      <c r="E243" s="5" t="str">
        <f>"广西幼儿师范高等专科学校语文教育"</f>
        <v>广西幼儿师范高等专科学校语文教育</v>
      </c>
      <c r="F243" s="5" t="str">
        <f>"专科无学位"</f>
        <v>专科无学位</v>
      </c>
      <c r="G243" s="6" t="str">
        <f t="shared" si="41"/>
        <v>是</v>
      </c>
      <c r="H243" s="6" t="str">
        <f t="shared" si="35"/>
        <v>小学</v>
      </c>
      <c r="I243" s="6" t="str">
        <f t="shared" si="36"/>
        <v>102:语文</v>
      </c>
      <c r="J243" s="4" t="s">
        <v>9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s="4" customFormat="1" ht="26.1" customHeight="1">
      <c r="A244" s="3">
        <v>242</v>
      </c>
      <c r="B244" s="4" t="str">
        <f>"黄丽"</f>
        <v>黄丽</v>
      </c>
      <c r="C244" s="4" t="str">
        <f t="shared" si="42"/>
        <v xml:space="preserve">女        </v>
      </c>
      <c r="D244" s="4" t="str">
        <f t="shared" si="40"/>
        <v>汉族</v>
      </c>
      <c r="E244" s="5" t="str">
        <f>"桂林师范高等专科学校初等教育"</f>
        <v>桂林师范高等专科学校初等教育</v>
      </c>
      <c r="F244" s="5" t="str">
        <f>"专科无学位"</f>
        <v>专科无学位</v>
      </c>
      <c r="G244" s="6" t="str">
        <f t="shared" si="41"/>
        <v>是</v>
      </c>
      <c r="H244" s="6" t="str">
        <f t="shared" si="35"/>
        <v>小学</v>
      </c>
      <c r="I244" s="6" t="str">
        <f t="shared" si="36"/>
        <v>102:语文</v>
      </c>
      <c r="J244" s="4" t="s">
        <v>9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s="4" customFormat="1" ht="26.1" customHeight="1">
      <c r="A245" s="3">
        <v>243</v>
      </c>
      <c r="B245" s="4" t="str">
        <f>"黄彩霞"</f>
        <v>黄彩霞</v>
      </c>
      <c r="C245" s="4" t="str">
        <f t="shared" si="42"/>
        <v xml:space="preserve">女        </v>
      </c>
      <c r="D245" s="4" t="str">
        <f t="shared" si="40"/>
        <v>汉族</v>
      </c>
      <c r="E245" s="5" t="str">
        <f>"玉林师范学院汉语言文学"</f>
        <v>玉林师范学院汉语言文学</v>
      </c>
      <c r="F245" s="5" t="str">
        <f>"本科学士"</f>
        <v>本科学士</v>
      </c>
      <c r="G245" s="6" t="str">
        <f t="shared" si="41"/>
        <v>是</v>
      </c>
      <c r="H245" s="6" t="str">
        <f t="shared" si="35"/>
        <v>小学</v>
      </c>
      <c r="I245" s="6" t="str">
        <f t="shared" si="36"/>
        <v>102:语文</v>
      </c>
      <c r="J245" s="4" t="s">
        <v>9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s="4" customFormat="1" ht="26.1" customHeight="1">
      <c r="A246" s="3">
        <v>244</v>
      </c>
      <c r="B246" s="4" t="str">
        <f>"巫丽"</f>
        <v>巫丽</v>
      </c>
      <c r="C246" s="4" t="str">
        <f t="shared" si="42"/>
        <v xml:space="preserve">女        </v>
      </c>
      <c r="D246" s="4" t="str">
        <f t="shared" si="40"/>
        <v>汉族</v>
      </c>
      <c r="E246" s="5" t="str">
        <f>"玉林师范学院学前教育"</f>
        <v>玉林师范学院学前教育</v>
      </c>
      <c r="F246" s="5" t="str">
        <f>"本科学士"</f>
        <v>本科学士</v>
      </c>
      <c r="G246" s="6" t="str">
        <f t="shared" si="41"/>
        <v>是</v>
      </c>
      <c r="H246" s="6" t="str">
        <f t="shared" si="35"/>
        <v>小学</v>
      </c>
      <c r="I246" s="6" t="str">
        <f t="shared" si="36"/>
        <v>102:语文</v>
      </c>
      <c r="J246" s="4" t="s">
        <v>9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s="4" customFormat="1" ht="26.1" customHeight="1">
      <c r="A247" s="3">
        <v>245</v>
      </c>
      <c r="B247" s="4" t="str">
        <f>"罗琴"</f>
        <v>罗琴</v>
      </c>
      <c r="C247" s="4" t="str">
        <f t="shared" si="42"/>
        <v xml:space="preserve">女        </v>
      </c>
      <c r="D247" s="4" t="str">
        <f t="shared" si="40"/>
        <v>汉族</v>
      </c>
      <c r="E247" s="5" t="str">
        <f>"广西教育学院汉语"</f>
        <v>广西教育学院汉语</v>
      </c>
      <c r="F247" s="5" t="str">
        <f>"专科无学位"</f>
        <v>专科无学位</v>
      </c>
      <c r="G247" s="6" t="str">
        <f t="shared" si="41"/>
        <v>是</v>
      </c>
      <c r="H247" s="6" t="str">
        <f t="shared" si="35"/>
        <v>小学</v>
      </c>
      <c r="I247" s="6" t="str">
        <f t="shared" si="36"/>
        <v>102:语文</v>
      </c>
      <c r="J247" s="4" t="s">
        <v>9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s="4" customFormat="1" ht="26.1" customHeight="1">
      <c r="A248" s="3">
        <v>246</v>
      </c>
      <c r="B248" s="4" t="str">
        <f>"苏玉连"</f>
        <v>苏玉连</v>
      </c>
      <c r="C248" s="4" t="str">
        <f t="shared" si="42"/>
        <v xml:space="preserve">女        </v>
      </c>
      <c r="D248" s="4" t="str">
        <f t="shared" si="40"/>
        <v>汉族</v>
      </c>
      <c r="E248" s="5" t="str">
        <f>"广西教育学院汉语"</f>
        <v>广西教育学院汉语</v>
      </c>
      <c r="F248" s="5" t="str">
        <f>"专科无学位"</f>
        <v>专科无学位</v>
      </c>
      <c r="G248" s="6" t="str">
        <f t="shared" si="41"/>
        <v>是</v>
      </c>
      <c r="H248" s="6" t="str">
        <f t="shared" si="35"/>
        <v>小学</v>
      </c>
      <c r="I248" s="6" t="str">
        <f t="shared" si="36"/>
        <v>102:语文</v>
      </c>
      <c r="J248" s="4" t="s">
        <v>9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s="4" customFormat="1" ht="26.1" customHeight="1">
      <c r="A249" s="3">
        <v>247</v>
      </c>
      <c r="B249" s="4" t="str">
        <f>"李美容"</f>
        <v>李美容</v>
      </c>
      <c r="C249" s="4" t="str">
        <f t="shared" si="42"/>
        <v xml:space="preserve">女        </v>
      </c>
      <c r="D249" s="4" t="str">
        <f t="shared" si="40"/>
        <v>汉族</v>
      </c>
      <c r="E249" s="5" t="str">
        <f>"柳州师范高等专科学校思想政治教育"</f>
        <v>柳州师范高等专科学校思想政治教育</v>
      </c>
      <c r="F249" s="5" t="str">
        <f>"专科无学位"</f>
        <v>专科无学位</v>
      </c>
      <c r="G249" s="6" t="str">
        <f t="shared" si="41"/>
        <v>是</v>
      </c>
      <c r="H249" s="6" t="str">
        <f t="shared" si="35"/>
        <v>小学</v>
      </c>
      <c r="I249" s="6" t="str">
        <f t="shared" si="36"/>
        <v>102:语文</v>
      </c>
      <c r="J249" s="4" t="s">
        <v>9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s="4" customFormat="1" ht="26.1" customHeight="1">
      <c r="A250" s="3">
        <v>248</v>
      </c>
      <c r="B250" s="4" t="str">
        <f>"王馨漫"</f>
        <v>王馨漫</v>
      </c>
      <c r="C250" s="4" t="str">
        <f t="shared" si="42"/>
        <v xml:space="preserve">女        </v>
      </c>
      <c r="D250" s="4" t="str">
        <f t="shared" si="40"/>
        <v>汉族</v>
      </c>
      <c r="E250" s="5" t="str">
        <f>"南宁地区教育学院语文教育"</f>
        <v>南宁地区教育学院语文教育</v>
      </c>
      <c r="F250" s="5" t="str">
        <f>"专科无学位"</f>
        <v>专科无学位</v>
      </c>
      <c r="G250" s="6" t="str">
        <f t="shared" si="41"/>
        <v>是</v>
      </c>
      <c r="H250" s="6" t="str">
        <f t="shared" si="35"/>
        <v>小学</v>
      </c>
      <c r="I250" s="6" t="str">
        <f t="shared" si="36"/>
        <v>102:语文</v>
      </c>
      <c r="J250" s="4" t="s">
        <v>9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s="4" customFormat="1" ht="26.1" customHeight="1">
      <c r="A251" s="3">
        <v>249</v>
      </c>
      <c r="B251" s="4" t="str">
        <f>"陈莹"</f>
        <v>陈莹</v>
      </c>
      <c r="C251" s="4" t="str">
        <f t="shared" si="42"/>
        <v xml:space="preserve">女        </v>
      </c>
      <c r="D251" s="4" t="str">
        <f t="shared" si="40"/>
        <v>汉族</v>
      </c>
      <c r="E251" s="5" t="str">
        <f>"广西教育学院汉语"</f>
        <v>广西教育学院汉语</v>
      </c>
      <c r="F251" s="5" t="str">
        <f>"专科无学位"</f>
        <v>专科无学位</v>
      </c>
      <c r="G251" s="6" t="str">
        <f t="shared" si="41"/>
        <v>是</v>
      </c>
      <c r="H251" s="6" t="str">
        <f t="shared" si="35"/>
        <v>小学</v>
      </c>
      <c r="I251" s="6" t="str">
        <f t="shared" si="36"/>
        <v>102:语文</v>
      </c>
      <c r="J251" s="4" t="s">
        <v>9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s="4" customFormat="1" ht="26.1" customHeight="1">
      <c r="A252" s="3">
        <v>250</v>
      </c>
      <c r="B252" s="4" t="str">
        <f>"陈嘉欣"</f>
        <v>陈嘉欣</v>
      </c>
      <c r="C252" s="4" t="str">
        <f t="shared" si="42"/>
        <v xml:space="preserve">女        </v>
      </c>
      <c r="D252" s="4" t="str">
        <f t="shared" si="40"/>
        <v>汉族</v>
      </c>
      <c r="E252" s="5" t="str">
        <f>"广西民族师范学院汉语言文学教育"</f>
        <v>广西民族师范学院汉语言文学教育</v>
      </c>
      <c r="F252" s="5" t="str">
        <f t="shared" ref="F252:F258" si="43">"本科学士"</f>
        <v>本科学士</v>
      </c>
      <c r="G252" s="6" t="str">
        <f t="shared" si="41"/>
        <v>是</v>
      </c>
      <c r="H252" s="6" t="str">
        <f t="shared" si="35"/>
        <v>小学</v>
      </c>
      <c r="I252" s="6" t="str">
        <f t="shared" si="36"/>
        <v>102:语文</v>
      </c>
      <c r="J252" s="4" t="s">
        <v>9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s="4" customFormat="1" ht="26.1" customHeight="1">
      <c r="A253" s="3">
        <v>251</v>
      </c>
      <c r="B253" s="4" t="str">
        <f>"董妮"</f>
        <v>董妮</v>
      </c>
      <c r="C253" s="4" t="str">
        <f t="shared" si="42"/>
        <v xml:space="preserve">女        </v>
      </c>
      <c r="D253" s="4" t="str">
        <f t="shared" si="40"/>
        <v>汉族</v>
      </c>
      <c r="E253" s="5" t="str">
        <f>"梧州学院汉语言文学"</f>
        <v>梧州学院汉语言文学</v>
      </c>
      <c r="F253" s="5" t="str">
        <f t="shared" si="43"/>
        <v>本科学士</v>
      </c>
      <c r="G253" s="6" t="str">
        <f>"不是"</f>
        <v>不是</v>
      </c>
      <c r="H253" s="6" t="str">
        <f t="shared" si="35"/>
        <v>小学</v>
      </c>
      <c r="I253" s="6" t="str">
        <f t="shared" si="36"/>
        <v>102:语文</v>
      </c>
      <c r="J253" s="4" t="s">
        <v>9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s="4" customFormat="1" ht="26.1" customHeight="1">
      <c r="A254" s="3">
        <v>252</v>
      </c>
      <c r="B254" s="4" t="str">
        <f>"杨国安"</f>
        <v>杨国安</v>
      </c>
      <c r="C254" s="4" t="str">
        <f t="shared" si="42"/>
        <v xml:space="preserve">女        </v>
      </c>
      <c r="D254" s="4" t="str">
        <f t="shared" si="40"/>
        <v>汉族</v>
      </c>
      <c r="E254" s="5" t="str">
        <f>"陕西学前师范学院汉语言文学"</f>
        <v>陕西学前师范学院汉语言文学</v>
      </c>
      <c r="F254" s="5" t="str">
        <f t="shared" si="43"/>
        <v>本科学士</v>
      </c>
      <c r="G254" s="6" t="str">
        <f>"是"</f>
        <v>是</v>
      </c>
      <c r="H254" s="6" t="str">
        <f t="shared" si="35"/>
        <v>小学</v>
      </c>
      <c r="I254" s="6" t="str">
        <f t="shared" si="36"/>
        <v>102:语文</v>
      </c>
      <c r="J254" s="4" t="s">
        <v>9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s="4" customFormat="1" ht="26.1" customHeight="1">
      <c r="A255" s="3">
        <v>253</v>
      </c>
      <c r="B255" s="4" t="str">
        <f>"黄小可"</f>
        <v>黄小可</v>
      </c>
      <c r="C255" s="4" t="str">
        <f t="shared" si="42"/>
        <v xml:space="preserve">女        </v>
      </c>
      <c r="D255" s="4" t="str">
        <f t="shared" si="40"/>
        <v>汉族</v>
      </c>
      <c r="E255" s="5" t="str">
        <f>"广西师范学院小学教育"</f>
        <v>广西师范学院小学教育</v>
      </c>
      <c r="F255" s="5" t="str">
        <f t="shared" si="43"/>
        <v>本科学士</v>
      </c>
      <c r="G255" s="6" t="str">
        <f>"是"</f>
        <v>是</v>
      </c>
      <c r="H255" s="6" t="str">
        <f t="shared" si="35"/>
        <v>小学</v>
      </c>
      <c r="I255" s="6" t="str">
        <f t="shared" si="36"/>
        <v>102:语文</v>
      </c>
      <c r="J255" s="4" t="s">
        <v>9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s="4" customFormat="1" ht="26.1" customHeight="1">
      <c r="A256" s="3">
        <v>254</v>
      </c>
      <c r="B256" s="4" t="str">
        <f>"梁泸尹"</f>
        <v>梁泸尹</v>
      </c>
      <c r="C256" s="4" t="str">
        <f t="shared" si="42"/>
        <v xml:space="preserve">女        </v>
      </c>
      <c r="D256" s="4" t="str">
        <f t="shared" si="40"/>
        <v>汉族</v>
      </c>
      <c r="E256" s="5" t="str">
        <f>"广西师范学院师园学院汉语言文学"</f>
        <v>广西师范学院师园学院汉语言文学</v>
      </c>
      <c r="F256" s="5" t="str">
        <f t="shared" si="43"/>
        <v>本科学士</v>
      </c>
      <c r="G256" s="6" t="str">
        <f>"是"</f>
        <v>是</v>
      </c>
      <c r="H256" s="6" t="str">
        <f t="shared" si="35"/>
        <v>小学</v>
      </c>
      <c r="I256" s="6" t="str">
        <f t="shared" si="36"/>
        <v>102:语文</v>
      </c>
      <c r="J256" s="4" t="s">
        <v>9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s="4" customFormat="1" ht="26.1" customHeight="1">
      <c r="A257" s="3">
        <v>255</v>
      </c>
      <c r="B257" s="4" t="str">
        <f>"温春璇"</f>
        <v>温春璇</v>
      </c>
      <c r="C257" s="4" t="str">
        <f t="shared" si="42"/>
        <v xml:space="preserve">女        </v>
      </c>
      <c r="D257" s="4" t="str">
        <f>"仫佬族"</f>
        <v>仫佬族</v>
      </c>
      <c r="E257" s="5" t="str">
        <f>"百色学院汉语言文学"</f>
        <v>百色学院汉语言文学</v>
      </c>
      <c r="F257" s="5" t="str">
        <f t="shared" si="43"/>
        <v>本科学士</v>
      </c>
      <c r="G257" s="6" t="str">
        <f>"是"</f>
        <v>是</v>
      </c>
      <c r="H257" s="6" t="str">
        <f t="shared" si="35"/>
        <v>小学</v>
      </c>
      <c r="I257" s="6" t="str">
        <f t="shared" si="36"/>
        <v>102:语文</v>
      </c>
      <c r="J257" s="4" t="s">
        <v>9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s="4" customFormat="1" ht="26.1" customHeight="1">
      <c r="A258" s="3">
        <v>256</v>
      </c>
      <c r="B258" s="4" t="str">
        <f>"李敏"</f>
        <v>李敏</v>
      </c>
      <c r="C258" s="4" t="str">
        <f t="shared" si="42"/>
        <v xml:space="preserve">女        </v>
      </c>
      <c r="D258" s="4" t="str">
        <f t="shared" ref="D258:D305" si="44">"汉族"</f>
        <v>汉族</v>
      </c>
      <c r="E258" s="5" t="str">
        <f>"玉林师范学院对外汉语"</f>
        <v>玉林师范学院对外汉语</v>
      </c>
      <c r="F258" s="5" t="str">
        <f t="shared" si="43"/>
        <v>本科学士</v>
      </c>
      <c r="G258" s="6" t="str">
        <f>"不是"</f>
        <v>不是</v>
      </c>
      <c r="H258" s="6" t="str">
        <f t="shared" si="35"/>
        <v>小学</v>
      </c>
      <c r="I258" s="6" t="str">
        <f t="shared" si="36"/>
        <v>102:语文</v>
      </c>
      <c r="J258" s="4" t="s">
        <v>9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s="4" customFormat="1" ht="26.1" customHeight="1">
      <c r="A259" s="3">
        <v>257</v>
      </c>
      <c r="B259" s="4" t="str">
        <f>"胡晓君"</f>
        <v>胡晓君</v>
      </c>
      <c r="C259" s="4" t="str">
        <f t="shared" si="42"/>
        <v xml:space="preserve">女        </v>
      </c>
      <c r="D259" s="4" t="str">
        <f t="shared" si="44"/>
        <v>汉族</v>
      </c>
      <c r="E259" s="5" t="str">
        <f>"柳州师范高等专科学校汉语"</f>
        <v>柳州师范高等专科学校汉语</v>
      </c>
      <c r="F259" s="5" t="str">
        <f>"专科无学位"</f>
        <v>专科无学位</v>
      </c>
      <c r="G259" s="6" t="str">
        <f>"是"</f>
        <v>是</v>
      </c>
      <c r="H259" s="6" t="str">
        <f t="shared" si="35"/>
        <v>小学</v>
      </c>
      <c r="I259" s="6" t="str">
        <f t="shared" si="36"/>
        <v>102:语文</v>
      </c>
      <c r="J259" s="4" t="s">
        <v>9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s="4" customFormat="1" ht="26.1" customHeight="1">
      <c r="A260" s="3">
        <v>258</v>
      </c>
      <c r="B260" s="4" t="str">
        <f>"李汉振"</f>
        <v>李汉振</v>
      </c>
      <c r="C260" s="4" t="str">
        <f>"男        "</f>
        <v xml:space="preserve">男        </v>
      </c>
      <c r="D260" s="4" t="str">
        <f t="shared" si="44"/>
        <v>汉族</v>
      </c>
      <c r="E260" s="5" t="str">
        <f>"广西师范大学漓江学院汉语国际教育"</f>
        <v>广西师范大学漓江学院汉语国际教育</v>
      </c>
      <c r="F260" s="5" t="str">
        <f>"本科学士"</f>
        <v>本科学士</v>
      </c>
      <c r="G260" s="6" t="str">
        <f>"不是"</f>
        <v>不是</v>
      </c>
      <c r="H260" s="6" t="str">
        <f t="shared" si="35"/>
        <v>小学</v>
      </c>
      <c r="I260" s="6" t="str">
        <f t="shared" si="36"/>
        <v>102:语文</v>
      </c>
      <c r="J260" s="4" t="s">
        <v>9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s="4" customFormat="1" ht="26.1" customHeight="1">
      <c r="A261" s="3">
        <v>259</v>
      </c>
      <c r="B261" s="4" t="str">
        <f>"郑晓林"</f>
        <v>郑晓林</v>
      </c>
      <c r="C261" s="4" t="str">
        <f t="shared" ref="C261:C267" si="45">"女        "</f>
        <v xml:space="preserve">女        </v>
      </c>
      <c r="D261" s="4" t="str">
        <f t="shared" si="44"/>
        <v>汉族</v>
      </c>
      <c r="E261" s="5" t="str">
        <f>"广西教育学院初等教育"</f>
        <v>广西教育学院初等教育</v>
      </c>
      <c r="F261" s="5" t="str">
        <f>"专科无学位"</f>
        <v>专科无学位</v>
      </c>
      <c r="G261" s="6" t="str">
        <f t="shared" ref="G261:G281" si="46">"是"</f>
        <v>是</v>
      </c>
      <c r="H261" s="6" t="str">
        <f t="shared" si="35"/>
        <v>小学</v>
      </c>
      <c r="I261" s="6" t="str">
        <f t="shared" si="36"/>
        <v>102:语文</v>
      </c>
      <c r="J261" s="4" t="s">
        <v>9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s="4" customFormat="1" ht="26.1" customHeight="1">
      <c r="A262" s="3">
        <v>260</v>
      </c>
      <c r="B262" s="4" t="str">
        <f>"王洁"</f>
        <v>王洁</v>
      </c>
      <c r="C262" s="4" t="str">
        <f t="shared" si="45"/>
        <v xml:space="preserve">女        </v>
      </c>
      <c r="D262" s="4" t="str">
        <f t="shared" si="44"/>
        <v>汉族</v>
      </c>
      <c r="E262" s="5" t="str">
        <f>"贺州学院小学教育"</f>
        <v>贺州学院小学教育</v>
      </c>
      <c r="F262" s="5" t="str">
        <f>"本科学士"</f>
        <v>本科学士</v>
      </c>
      <c r="G262" s="6" t="str">
        <f t="shared" si="46"/>
        <v>是</v>
      </c>
      <c r="H262" s="6" t="str">
        <f t="shared" si="35"/>
        <v>小学</v>
      </c>
      <c r="I262" s="6" t="str">
        <f t="shared" si="36"/>
        <v>102:语文</v>
      </c>
      <c r="J262" s="4" t="s">
        <v>9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s="4" customFormat="1" ht="26.1" customHeight="1">
      <c r="A263" s="3">
        <v>261</v>
      </c>
      <c r="B263" s="4" t="str">
        <f>"朱书欣"</f>
        <v>朱书欣</v>
      </c>
      <c r="C263" s="4" t="str">
        <f t="shared" si="45"/>
        <v xml:space="preserve">女        </v>
      </c>
      <c r="D263" s="4" t="str">
        <f t="shared" si="44"/>
        <v>汉族</v>
      </c>
      <c r="E263" s="5" t="str">
        <f>"玉林师范学院小学教育"</f>
        <v>玉林师范学院小学教育</v>
      </c>
      <c r="F263" s="5" t="str">
        <f>"本科学士"</f>
        <v>本科学士</v>
      </c>
      <c r="G263" s="6" t="str">
        <f t="shared" si="46"/>
        <v>是</v>
      </c>
      <c r="H263" s="6" t="str">
        <f t="shared" si="35"/>
        <v>小学</v>
      </c>
      <c r="I263" s="6" t="str">
        <f t="shared" si="36"/>
        <v>102:语文</v>
      </c>
      <c r="J263" s="4" t="s">
        <v>9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s="4" customFormat="1" ht="26.1" customHeight="1">
      <c r="A264" s="3">
        <v>262</v>
      </c>
      <c r="B264" s="4" t="str">
        <f>"胡竞月"</f>
        <v>胡竞月</v>
      </c>
      <c r="C264" s="4" t="str">
        <f t="shared" si="45"/>
        <v xml:space="preserve">女        </v>
      </c>
      <c r="D264" s="4" t="str">
        <f t="shared" si="44"/>
        <v>汉族</v>
      </c>
      <c r="E264" s="5" t="str">
        <f>"广西科技师范学院汉语"</f>
        <v>广西科技师范学院汉语</v>
      </c>
      <c r="F264" s="5" t="str">
        <f>"专科无学位"</f>
        <v>专科无学位</v>
      </c>
      <c r="G264" s="6" t="str">
        <f t="shared" si="46"/>
        <v>是</v>
      </c>
      <c r="H264" s="6" t="str">
        <f t="shared" si="35"/>
        <v>小学</v>
      </c>
      <c r="I264" s="6" t="str">
        <f t="shared" si="36"/>
        <v>102:语文</v>
      </c>
      <c r="J264" s="4" t="s">
        <v>9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s="4" customFormat="1" ht="26.1" customHeight="1">
      <c r="A265" s="3">
        <v>263</v>
      </c>
      <c r="B265" s="4" t="str">
        <f>"杨小兰"</f>
        <v>杨小兰</v>
      </c>
      <c r="C265" s="4" t="str">
        <f t="shared" si="45"/>
        <v xml:space="preserve">女        </v>
      </c>
      <c r="D265" s="4" t="str">
        <f t="shared" si="44"/>
        <v>汉族</v>
      </c>
      <c r="E265" s="5" t="str">
        <f>"广西师范学院汉语言文学"</f>
        <v>广西师范学院汉语言文学</v>
      </c>
      <c r="F265" s="5" t="str">
        <f>"本科学士"</f>
        <v>本科学士</v>
      </c>
      <c r="G265" s="6" t="str">
        <f t="shared" si="46"/>
        <v>是</v>
      </c>
      <c r="H265" s="6" t="str">
        <f t="shared" ref="H265:H328" si="47">"小学"</f>
        <v>小学</v>
      </c>
      <c r="I265" s="6" t="str">
        <f t="shared" ref="I265:I328" si="48">"102:语文"</f>
        <v>102:语文</v>
      </c>
      <c r="J265" s="4" t="s">
        <v>9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s="4" customFormat="1" ht="26.1" customHeight="1">
      <c r="A266" s="3">
        <v>264</v>
      </c>
      <c r="B266" s="4" t="str">
        <f>"庞雪丽"</f>
        <v>庞雪丽</v>
      </c>
      <c r="C266" s="4" t="str">
        <f t="shared" si="45"/>
        <v xml:space="preserve">女        </v>
      </c>
      <c r="D266" s="4" t="str">
        <f t="shared" si="44"/>
        <v>汉族</v>
      </c>
      <c r="E266" s="5" t="str">
        <f>"玉林师范学院汉语言文学"</f>
        <v>玉林师范学院汉语言文学</v>
      </c>
      <c r="F266" s="5" t="str">
        <f>"本科学士"</f>
        <v>本科学士</v>
      </c>
      <c r="G266" s="6" t="str">
        <f t="shared" si="46"/>
        <v>是</v>
      </c>
      <c r="H266" s="6" t="str">
        <f t="shared" si="47"/>
        <v>小学</v>
      </c>
      <c r="I266" s="6" t="str">
        <f t="shared" si="48"/>
        <v>102:语文</v>
      </c>
      <c r="J266" s="4" t="s">
        <v>9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s="4" customFormat="1" ht="26.1" customHeight="1">
      <c r="A267" s="3">
        <v>265</v>
      </c>
      <c r="B267" s="4" t="str">
        <f>"钟东兰"</f>
        <v>钟东兰</v>
      </c>
      <c r="C267" s="4" t="str">
        <f t="shared" si="45"/>
        <v xml:space="preserve">女        </v>
      </c>
      <c r="D267" s="4" t="str">
        <f t="shared" si="44"/>
        <v>汉族</v>
      </c>
      <c r="E267" s="5" t="str">
        <f>"河池学院小学语文教育"</f>
        <v>河池学院小学语文教育</v>
      </c>
      <c r="F267" s="5" t="str">
        <f>"本科学士"</f>
        <v>本科学士</v>
      </c>
      <c r="G267" s="6" t="str">
        <f t="shared" si="46"/>
        <v>是</v>
      </c>
      <c r="H267" s="6" t="str">
        <f t="shared" si="47"/>
        <v>小学</v>
      </c>
      <c r="I267" s="6" t="str">
        <f t="shared" si="48"/>
        <v>102:语文</v>
      </c>
      <c r="J267" s="4" t="s">
        <v>9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s="4" customFormat="1" ht="26.1" customHeight="1">
      <c r="A268" s="3">
        <v>266</v>
      </c>
      <c r="B268" s="4" t="str">
        <f>"张宗扬"</f>
        <v>张宗扬</v>
      </c>
      <c r="C268" s="4" t="str">
        <f>"男        "</f>
        <v xml:space="preserve">男        </v>
      </c>
      <c r="D268" s="4" t="str">
        <f t="shared" si="44"/>
        <v>汉族</v>
      </c>
      <c r="E268" s="5" t="str">
        <f>"广西师范大学漓江学院汉语言文学"</f>
        <v>广西师范大学漓江学院汉语言文学</v>
      </c>
      <c r="F268" s="5" t="str">
        <f>"本科学士"</f>
        <v>本科学士</v>
      </c>
      <c r="G268" s="6" t="str">
        <f t="shared" si="46"/>
        <v>是</v>
      </c>
      <c r="H268" s="6" t="str">
        <f t="shared" si="47"/>
        <v>小学</v>
      </c>
      <c r="I268" s="6" t="str">
        <f t="shared" si="48"/>
        <v>102:语文</v>
      </c>
      <c r="J268" s="4" t="s">
        <v>9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s="4" customFormat="1" ht="26.1" customHeight="1">
      <c r="A269" s="3">
        <v>267</v>
      </c>
      <c r="B269" s="4" t="str">
        <f>"沈俐君"</f>
        <v>沈俐君</v>
      </c>
      <c r="C269" s="4" t="str">
        <f t="shared" ref="C269:C319" si="49">"女        "</f>
        <v xml:space="preserve">女        </v>
      </c>
      <c r="D269" s="4" t="str">
        <f t="shared" si="44"/>
        <v>汉族</v>
      </c>
      <c r="E269" s="5" t="str">
        <f>"广西幼儿师范高等专科学校语文教育"</f>
        <v>广西幼儿师范高等专科学校语文教育</v>
      </c>
      <c r="F269" s="5" t="str">
        <f>"专科学士"</f>
        <v>专科学士</v>
      </c>
      <c r="G269" s="6" t="str">
        <f t="shared" si="46"/>
        <v>是</v>
      </c>
      <c r="H269" s="6" t="str">
        <f t="shared" si="47"/>
        <v>小学</v>
      </c>
      <c r="I269" s="6" t="str">
        <f t="shared" si="48"/>
        <v>102:语文</v>
      </c>
      <c r="J269" s="4" t="s">
        <v>9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s="4" customFormat="1" ht="26.1" customHeight="1">
      <c r="A270" s="3">
        <v>268</v>
      </c>
      <c r="B270" s="4" t="str">
        <f>"王丽"</f>
        <v>王丽</v>
      </c>
      <c r="C270" s="4" t="str">
        <f t="shared" si="49"/>
        <v xml:space="preserve">女        </v>
      </c>
      <c r="D270" s="4" t="str">
        <f t="shared" si="44"/>
        <v>汉族</v>
      </c>
      <c r="E270" s="5" t="str">
        <f>"广西科技师范学院语文教育"</f>
        <v>广西科技师范学院语文教育</v>
      </c>
      <c r="F270" s="5" t="str">
        <f>"专科无学位"</f>
        <v>专科无学位</v>
      </c>
      <c r="G270" s="6" t="str">
        <f t="shared" si="46"/>
        <v>是</v>
      </c>
      <c r="H270" s="6" t="str">
        <f t="shared" si="47"/>
        <v>小学</v>
      </c>
      <c r="I270" s="6" t="str">
        <f t="shared" si="48"/>
        <v>102:语文</v>
      </c>
      <c r="J270" s="4" t="s">
        <v>9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s="4" customFormat="1" ht="26.1" customHeight="1">
      <c r="A271" s="3">
        <v>269</v>
      </c>
      <c r="B271" s="4" t="str">
        <f>"周靖雯"</f>
        <v>周靖雯</v>
      </c>
      <c r="C271" s="4" t="str">
        <f t="shared" si="49"/>
        <v xml:space="preserve">女        </v>
      </c>
      <c r="D271" s="4" t="str">
        <f t="shared" si="44"/>
        <v>汉族</v>
      </c>
      <c r="E271" s="5" t="str">
        <f>"河池学院小学教育"</f>
        <v>河池学院小学教育</v>
      </c>
      <c r="F271" s="5" t="str">
        <f>"本科学士"</f>
        <v>本科学士</v>
      </c>
      <c r="G271" s="6" t="str">
        <f t="shared" si="46"/>
        <v>是</v>
      </c>
      <c r="H271" s="6" t="str">
        <f t="shared" si="47"/>
        <v>小学</v>
      </c>
      <c r="I271" s="6" t="str">
        <f t="shared" si="48"/>
        <v>102:语文</v>
      </c>
      <c r="J271" s="4" t="s">
        <v>9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s="4" customFormat="1" ht="26.1" customHeight="1">
      <c r="A272" s="3">
        <v>270</v>
      </c>
      <c r="B272" s="4" t="str">
        <f>"杨妮"</f>
        <v>杨妮</v>
      </c>
      <c r="C272" s="4" t="str">
        <f t="shared" si="49"/>
        <v xml:space="preserve">女        </v>
      </c>
      <c r="D272" s="4" t="str">
        <f t="shared" si="44"/>
        <v>汉族</v>
      </c>
      <c r="E272" s="5" t="str">
        <f>"桂林师范高等专科学校语文教育"</f>
        <v>桂林师范高等专科学校语文教育</v>
      </c>
      <c r="F272" s="5" t="str">
        <f>"专科学士"</f>
        <v>专科学士</v>
      </c>
      <c r="G272" s="6" t="str">
        <f t="shared" si="46"/>
        <v>是</v>
      </c>
      <c r="H272" s="6" t="str">
        <f t="shared" si="47"/>
        <v>小学</v>
      </c>
      <c r="I272" s="6" t="str">
        <f t="shared" si="48"/>
        <v>102:语文</v>
      </c>
      <c r="J272" s="4" t="s">
        <v>9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s="4" customFormat="1" ht="26.1" customHeight="1">
      <c r="A273" s="3">
        <v>271</v>
      </c>
      <c r="B273" s="4" t="str">
        <f>"陈国琼"</f>
        <v>陈国琼</v>
      </c>
      <c r="C273" s="4" t="str">
        <f t="shared" si="49"/>
        <v xml:space="preserve">女        </v>
      </c>
      <c r="D273" s="4" t="str">
        <f t="shared" si="44"/>
        <v>汉族</v>
      </c>
      <c r="E273" s="5" t="str">
        <f>"豫章师范学院语文教育"</f>
        <v>豫章师范学院语文教育</v>
      </c>
      <c r="F273" s="5" t="str">
        <f>"专科无学位"</f>
        <v>专科无学位</v>
      </c>
      <c r="G273" s="6" t="str">
        <f t="shared" si="46"/>
        <v>是</v>
      </c>
      <c r="H273" s="6" t="str">
        <f t="shared" si="47"/>
        <v>小学</v>
      </c>
      <c r="I273" s="6" t="str">
        <f t="shared" si="48"/>
        <v>102:语文</v>
      </c>
      <c r="J273" s="4" t="s">
        <v>9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s="4" customFormat="1" ht="26.1" customHeight="1">
      <c r="A274" s="3">
        <v>272</v>
      </c>
      <c r="B274" s="4" t="str">
        <f>"杨祖婷"</f>
        <v>杨祖婷</v>
      </c>
      <c r="C274" s="4" t="str">
        <f t="shared" si="49"/>
        <v xml:space="preserve">女        </v>
      </c>
      <c r="D274" s="4" t="str">
        <f t="shared" si="44"/>
        <v>汉族</v>
      </c>
      <c r="E274" s="5" t="str">
        <f>"钦州学院教育学小学教育文科"</f>
        <v>钦州学院教育学小学教育文科</v>
      </c>
      <c r="F274" s="5" t="str">
        <f>"本科学士"</f>
        <v>本科学士</v>
      </c>
      <c r="G274" s="6" t="str">
        <f t="shared" si="46"/>
        <v>是</v>
      </c>
      <c r="H274" s="6" t="str">
        <f t="shared" si="47"/>
        <v>小学</v>
      </c>
      <c r="I274" s="6" t="str">
        <f t="shared" si="48"/>
        <v>102:语文</v>
      </c>
      <c r="J274" s="4" t="s">
        <v>9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s="4" customFormat="1" ht="26.1" customHeight="1">
      <c r="A275" s="3">
        <v>273</v>
      </c>
      <c r="B275" s="4" t="str">
        <f>"蒋雪婷"</f>
        <v>蒋雪婷</v>
      </c>
      <c r="C275" s="4" t="str">
        <f t="shared" si="49"/>
        <v xml:space="preserve">女        </v>
      </c>
      <c r="D275" s="4" t="str">
        <f t="shared" si="44"/>
        <v>汉族</v>
      </c>
      <c r="E275" s="5" t="str">
        <f>"广西科技师范学院语文教育"</f>
        <v>广西科技师范学院语文教育</v>
      </c>
      <c r="F275" s="5" t="str">
        <f>"专科无学位"</f>
        <v>专科无学位</v>
      </c>
      <c r="G275" s="6" t="str">
        <f t="shared" si="46"/>
        <v>是</v>
      </c>
      <c r="H275" s="6" t="str">
        <f t="shared" si="47"/>
        <v>小学</v>
      </c>
      <c r="I275" s="6" t="str">
        <f t="shared" si="48"/>
        <v>102:语文</v>
      </c>
      <c r="J275" s="4" t="s">
        <v>9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s="4" customFormat="1" ht="26.1" customHeight="1">
      <c r="A276" s="3">
        <v>274</v>
      </c>
      <c r="B276" s="4" t="str">
        <f>"杨培"</f>
        <v>杨培</v>
      </c>
      <c r="C276" s="4" t="str">
        <f t="shared" si="49"/>
        <v xml:space="preserve">女        </v>
      </c>
      <c r="D276" s="4" t="str">
        <f t="shared" si="44"/>
        <v>汉族</v>
      </c>
      <c r="E276" s="5" t="str">
        <f>"玉林师范学院汉语言文学"</f>
        <v>玉林师范学院汉语言文学</v>
      </c>
      <c r="F276" s="5" t="str">
        <f t="shared" ref="F276:F281" si="50">"本科学士"</f>
        <v>本科学士</v>
      </c>
      <c r="G276" s="6" t="str">
        <f t="shared" si="46"/>
        <v>是</v>
      </c>
      <c r="H276" s="6" t="str">
        <f t="shared" si="47"/>
        <v>小学</v>
      </c>
      <c r="I276" s="6" t="str">
        <f t="shared" si="48"/>
        <v>102:语文</v>
      </c>
      <c r="J276" s="4" t="s">
        <v>9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s="4" customFormat="1" ht="26.1" customHeight="1">
      <c r="A277" s="3">
        <v>275</v>
      </c>
      <c r="B277" s="4" t="str">
        <f>"宁丹丹"</f>
        <v>宁丹丹</v>
      </c>
      <c r="C277" s="4" t="str">
        <f t="shared" si="49"/>
        <v xml:space="preserve">女        </v>
      </c>
      <c r="D277" s="4" t="str">
        <f t="shared" si="44"/>
        <v>汉族</v>
      </c>
      <c r="E277" s="5" t="str">
        <f>"梧州学院小学教育"</f>
        <v>梧州学院小学教育</v>
      </c>
      <c r="F277" s="5" t="str">
        <f t="shared" si="50"/>
        <v>本科学士</v>
      </c>
      <c r="G277" s="6" t="str">
        <f t="shared" si="46"/>
        <v>是</v>
      </c>
      <c r="H277" s="6" t="str">
        <f t="shared" si="47"/>
        <v>小学</v>
      </c>
      <c r="I277" s="6" t="str">
        <f t="shared" si="48"/>
        <v>102:语文</v>
      </c>
      <c r="J277" s="4" t="s">
        <v>10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s="4" customFormat="1" ht="26.1" customHeight="1">
      <c r="A278" s="3">
        <v>276</v>
      </c>
      <c r="B278" s="4" t="str">
        <f>"谭资"</f>
        <v>谭资</v>
      </c>
      <c r="C278" s="4" t="str">
        <f t="shared" si="49"/>
        <v xml:space="preserve">女        </v>
      </c>
      <c r="D278" s="4" t="str">
        <f t="shared" si="44"/>
        <v>汉族</v>
      </c>
      <c r="E278" s="5" t="str">
        <f>"广西师范学院师园学院小学教育"</f>
        <v>广西师范学院师园学院小学教育</v>
      </c>
      <c r="F278" s="5" t="str">
        <f t="shared" si="50"/>
        <v>本科学士</v>
      </c>
      <c r="G278" s="6" t="str">
        <f t="shared" si="46"/>
        <v>是</v>
      </c>
      <c r="H278" s="6" t="str">
        <f t="shared" si="47"/>
        <v>小学</v>
      </c>
      <c r="I278" s="6" t="str">
        <f t="shared" si="48"/>
        <v>102:语文</v>
      </c>
      <c r="J278" s="4" t="s">
        <v>10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s="4" customFormat="1" ht="26.1" customHeight="1">
      <c r="A279" s="3">
        <v>277</v>
      </c>
      <c r="B279" s="4" t="str">
        <f>"何晓萍"</f>
        <v>何晓萍</v>
      </c>
      <c r="C279" s="4" t="str">
        <f t="shared" si="49"/>
        <v xml:space="preserve">女        </v>
      </c>
      <c r="D279" s="4" t="str">
        <f t="shared" si="44"/>
        <v>汉族</v>
      </c>
      <c r="E279" s="5" t="str">
        <f>"玉林师范学院汉语言文学"</f>
        <v>玉林师范学院汉语言文学</v>
      </c>
      <c r="F279" s="5" t="str">
        <f t="shared" si="50"/>
        <v>本科学士</v>
      </c>
      <c r="G279" s="6" t="str">
        <f t="shared" si="46"/>
        <v>是</v>
      </c>
      <c r="H279" s="6" t="str">
        <f t="shared" si="47"/>
        <v>小学</v>
      </c>
      <c r="I279" s="6" t="str">
        <f t="shared" si="48"/>
        <v>102:语文</v>
      </c>
      <c r="J279" s="4" t="s">
        <v>10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s="4" customFormat="1" ht="26.1" customHeight="1">
      <c r="A280" s="3">
        <v>278</v>
      </c>
      <c r="B280" s="4" t="str">
        <f>"陈雪婷"</f>
        <v>陈雪婷</v>
      </c>
      <c r="C280" s="4" t="str">
        <f t="shared" si="49"/>
        <v xml:space="preserve">女        </v>
      </c>
      <c r="D280" s="4" t="str">
        <f t="shared" si="44"/>
        <v>汉族</v>
      </c>
      <c r="E280" s="5" t="str">
        <f>"贺州学院小学教育"</f>
        <v>贺州学院小学教育</v>
      </c>
      <c r="F280" s="5" t="str">
        <f t="shared" si="50"/>
        <v>本科学士</v>
      </c>
      <c r="G280" s="6" t="str">
        <f t="shared" si="46"/>
        <v>是</v>
      </c>
      <c r="H280" s="6" t="str">
        <f t="shared" si="47"/>
        <v>小学</v>
      </c>
      <c r="I280" s="6" t="str">
        <f t="shared" si="48"/>
        <v>102:语文</v>
      </c>
      <c r="J280" s="4" t="s">
        <v>10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s="4" customFormat="1" ht="26.1" customHeight="1">
      <c r="A281" s="3">
        <v>279</v>
      </c>
      <c r="B281" s="4" t="str">
        <f>"宁园"</f>
        <v>宁园</v>
      </c>
      <c r="C281" s="4" t="str">
        <f t="shared" si="49"/>
        <v xml:space="preserve">女        </v>
      </c>
      <c r="D281" s="4" t="str">
        <f t="shared" si="44"/>
        <v>汉族</v>
      </c>
      <c r="E281" s="5" t="str">
        <f>"广西师范学院小学教育"</f>
        <v>广西师范学院小学教育</v>
      </c>
      <c r="F281" s="5" t="str">
        <f t="shared" si="50"/>
        <v>本科学士</v>
      </c>
      <c r="G281" s="6" t="str">
        <f t="shared" si="46"/>
        <v>是</v>
      </c>
      <c r="H281" s="6" t="str">
        <f t="shared" si="47"/>
        <v>小学</v>
      </c>
      <c r="I281" s="6" t="str">
        <f t="shared" si="48"/>
        <v>102:语文</v>
      </c>
      <c r="J281" s="4" t="s">
        <v>10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s="4" customFormat="1" ht="26.1" customHeight="1">
      <c r="A282" s="3">
        <v>280</v>
      </c>
      <c r="B282" s="4" t="str">
        <f>"秦芳莹"</f>
        <v>秦芳莹</v>
      </c>
      <c r="C282" s="4" t="str">
        <f t="shared" si="49"/>
        <v xml:space="preserve">女        </v>
      </c>
      <c r="D282" s="4" t="str">
        <f t="shared" si="44"/>
        <v>汉族</v>
      </c>
      <c r="E282" s="5" t="str">
        <f>"广西大学汉语国际教育"</f>
        <v>广西大学汉语国际教育</v>
      </c>
      <c r="F282" s="5" t="str">
        <f>"研究生硕士"</f>
        <v>研究生硕士</v>
      </c>
      <c r="G282" s="6" t="str">
        <f>"不是"</f>
        <v>不是</v>
      </c>
      <c r="H282" s="6" t="str">
        <f t="shared" si="47"/>
        <v>小学</v>
      </c>
      <c r="I282" s="6" t="str">
        <f t="shared" si="48"/>
        <v>102:语文</v>
      </c>
      <c r="J282" s="4" t="s">
        <v>10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s="4" customFormat="1" ht="26.1" customHeight="1">
      <c r="A283" s="3">
        <v>281</v>
      </c>
      <c r="B283" s="4" t="str">
        <f>"周妮妮"</f>
        <v>周妮妮</v>
      </c>
      <c r="C283" s="4" t="str">
        <f t="shared" si="49"/>
        <v xml:space="preserve">女        </v>
      </c>
      <c r="D283" s="4" t="str">
        <f t="shared" si="44"/>
        <v>汉族</v>
      </c>
      <c r="E283" s="5" t="str">
        <f>"荆楚理工学院学前教育"</f>
        <v>荆楚理工学院学前教育</v>
      </c>
      <c r="F283" s="5" t="str">
        <f>"专科无学位"</f>
        <v>专科无学位</v>
      </c>
      <c r="G283" s="6" t="str">
        <f>"是"</f>
        <v>是</v>
      </c>
      <c r="H283" s="6" t="str">
        <f t="shared" si="47"/>
        <v>小学</v>
      </c>
      <c r="I283" s="6" t="str">
        <f t="shared" si="48"/>
        <v>102:语文</v>
      </c>
      <c r="J283" s="4" t="s">
        <v>10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s="4" customFormat="1" ht="26.1" customHeight="1">
      <c r="A284" s="3">
        <v>282</v>
      </c>
      <c r="B284" s="4" t="str">
        <f>"满良敏"</f>
        <v>满良敏</v>
      </c>
      <c r="C284" s="4" t="str">
        <f t="shared" si="49"/>
        <v xml:space="preserve">女        </v>
      </c>
      <c r="D284" s="4" t="str">
        <f t="shared" si="44"/>
        <v>汉族</v>
      </c>
      <c r="E284" s="5" t="str">
        <f>"广西师范学院物流管理"</f>
        <v>广西师范学院物流管理</v>
      </c>
      <c r="F284" s="5" t="str">
        <f>"本科学士"</f>
        <v>本科学士</v>
      </c>
      <c r="G284" s="6" t="str">
        <f>"是"</f>
        <v>是</v>
      </c>
      <c r="H284" s="6" t="str">
        <f t="shared" si="47"/>
        <v>小学</v>
      </c>
      <c r="I284" s="6" t="str">
        <f t="shared" si="48"/>
        <v>102:语文</v>
      </c>
      <c r="J284" s="4" t="s">
        <v>10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s="4" customFormat="1" ht="26.1" customHeight="1">
      <c r="A285" s="3">
        <v>283</v>
      </c>
      <c r="B285" s="4" t="str">
        <f>"欧凤雪"</f>
        <v>欧凤雪</v>
      </c>
      <c r="C285" s="4" t="str">
        <f t="shared" si="49"/>
        <v xml:space="preserve">女        </v>
      </c>
      <c r="D285" s="4" t="str">
        <f t="shared" si="44"/>
        <v>汉族</v>
      </c>
      <c r="E285" s="5" t="str">
        <f>"广西科技师范学院思想政治教育"</f>
        <v>广西科技师范学院思想政治教育</v>
      </c>
      <c r="F285" s="5" t="str">
        <f>"专科无学位"</f>
        <v>专科无学位</v>
      </c>
      <c r="G285" s="6" t="str">
        <f>"是"</f>
        <v>是</v>
      </c>
      <c r="H285" s="6" t="str">
        <f t="shared" si="47"/>
        <v>小学</v>
      </c>
      <c r="I285" s="6" t="str">
        <f t="shared" si="48"/>
        <v>102:语文</v>
      </c>
      <c r="J285" s="4" t="s">
        <v>10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s="4" customFormat="1" ht="26.1" customHeight="1">
      <c r="A286" s="3">
        <v>284</v>
      </c>
      <c r="B286" s="4" t="str">
        <f>"丁嫄"</f>
        <v>丁嫄</v>
      </c>
      <c r="C286" s="4" t="str">
        <f t="shared" si="49"/>
        <v xml:space="preserve">女        </v>
      </c>
      <c r="D286" s="4" t="str">
        <f t="shared" si="44"/>
        <v>汉族</v>
      </c>
      <c r="E286" s="5" t="str">
        <f>"广西师范大学漓江学院汉语言文学"</f>
        <v>广西师范大学漓江学院汉语言文学</v>
      </c>
      <c r="F286" s="5" t="str">
        <f>"本科学士"</f>
        <v>本科学士</v>
      </c>
      <c r="G286" s="6" t="str">
        <f>"是"</f>
        <v>是</v>
      </c>
      <c r="H286" s="6" t="str">
        <f t="shared" si="47"/>
        <v>小学</v>
      </c>
      <c r="I286" s="6" t="str">
        <f t="shared" si="48"/>
        <v>102:语文</v>
      </c>
      <c r="J286" s="4" t="s">
        <v>10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s="4" customFormat="1" ht="26.1" customHeight="1">
      <c r="A287" s="3">
        <v>285</v>
      </c>
      <c r="B287" s="4" t="str">
        <f>"李雪冰"</f>
        <v>李雪冰</v>
      </c>
      <c r="C287" s="4" t="str">
        <f t="shared" si="49"/>
        <v xml:space="preserve">女        </v>
      </c>
      <c r="D287" s="4" t="str">
        <f t="shared" si="44"/>
        <v>汉族</v>
      </c>
      <c r="E287" s="5" t="str">
        <f>"玉林师范学院电子商务"</f>
        <v>玉林师范学院电子商务</v>
      </c>
      <c r="F287" s="5" t="str">
        <f>"本科学士"</f>
        <v>本科学士</v>
      </c>
      <c r="G287" s="6" t="str">
        <f>"不是"</f>
        <v>不是</v>
      </c>
      <c r="H287" s="6" t="str">
        <f t="shared" si="47"/>
        <v>小学</v>
      </c>
      <c r="I287" s="6" t="str">
        <f t="shared" si="48"/>
        <v>102:语文</v>
      </c>
      <c r="J287" s="4" t="s">
        <v>10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s="4" customFormat="1" ht="26.1" customHeight="1">
      <c r="A288" s="3">
        <v>286</v>
      </c>
      <c r="B288" s="4" t="str">
        <f>"林泳欣"</f>
        <v>林泳欣</v>
      </c>
      <c r="C288" s="4" t="str">
        <f t="shared" si="49"/>
        <v xml:space="preserve">女        </v>
      </c>
      <c r="D288" s="4" t="str">
        <f t="shared" si="44"/>
        <v>汉族</v>
      </c>
      <c r="E288" s="5" t="str">
        <f>"广西教育学院汉语"</f>
        <v>广西教育学院汉语</v>
      </c>
      <c r="F288" s="5" t="str">
        <f>"专科无学位"</f>
        <v>专科无学位</v>
      </c>
      <c r="G288" s="6" t="str">
        <f>"是"</f>
        <v>是</v>
      </c>
      <c r="H288" s="6" t="str">
        <f t="shared" si="47"/>
        <v>小学</v>
      </c>
      <c r="I288" s="6" t="str">
        <f t="shared" si="48"/>
        <v>102:语文</v>
      </c>
      <c r="J288" s="4" t="s">
        <v>10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s="4" customFormat="1" ht="26.1" customHeight="1">
      <c r="A289" s="3">
        <v>287</v>
      </c>
      <c r="B289" s="4" t="str">
        <f>"揭春燕"</f>
        <v>揭春燕</v>
      </c>
      <c r="C289" s="4" t="str">
        <f t="shared" si="49"/>
        <v xml:space="preserve">女        </v>
      </c>
      <c r="D289" s="4" t="str">
        <f t="shared" si="44"/>
        <v>汉族</v>
      </c>
      <c r="E289" s="5" t="str">
        <f>"玉林师范学院财务管理"</f>
        <v>玉林师范学院财务管理</v>
      </c>
      <c r="F289" s="5" t="str">
        <f>"本科学士"</f>
        <v>本科学士</v>
      </c>
      <c r="G289" s="6" t="str">
        <f>"不是"</f>
        <v>不是</v>
      </c>
      <c r="H289" s="6" t="str">
        <f t="shared" si="47"/>
        <v>小学</v>
      </c>
      <c r="I289" s="6" t="str">
        <f t="shared" si="48"/>
        <v>102:语文</v>
      </c>
      <c r="J289" s="4" t="s">
        <v>10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s="4" customFormat="1" ht="26.1" customHeight="1">
      <c r="A290" s="3">
        <v>288</v>
      </c>
      <c r="B290" s="4" t="str">
        <f>"卢树红"</f>
        <v>卢树红</v>
      </c>
      <c r="C290" s="4" t="str">
        <f t="shared" si="49"/>
        <v xml:space="preserve">女        </v>
      </c>
      <c r="D290" s="4" t="str">
        <f t="shared" si="44"/>
        <v>汉族</v>
      </c>
      <c r="E290" s="5" t="str">
        <f>"梧州学院汉语言文学"</f>
        <v>梧州学院汉语言文学</v>
      </c>
      <c r="F290" s="5" t="str">
        <f>"本科学士"</f>
        <v>本科学士</v>
      </c>
      <c r="G290" s="6" t="str">
        <f>"不是"</f>
        <v>不是</v>
      </c>
      <c r="H290" s="6" t="str">
        <f t="shared" si="47"/>
        <v>小学</v>
      </c>
      <c r="I290" s="6" t="str">
        <f t="shared" si="48"/>
        <v>102:语文</v>
      </c>
      <c r="J290" s="4" t="s">
        <v>10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s="4" customFormat="1" ht="26.1" customHeight="1">
      <c r="A291" s="3">
        <v>289</v>
      </c>
      <c r="B291" s="4" t="str">
        <f>"陈莉莉"</f>
        <v>陈莉莉</v>
      </c>
      <c r="C291" s="4" t="str">
        <f t="shared" si="49"/>
        <v xml:space="preserve">女        </v>
      </c>
      <c r="D291" s="4" t="str">
        <f t="shared" si="44"/>
        <v>汉族</v>
      </c>
      <c r="E291" s="5" t="str">
        <f>"海南省琼州学院语文教育"</f>
        <v>海南省琼州学院语文教育</v>
      </c>
      <c r="F291" s="5" t="str">
        <f>"专科无学位"</f>
        <v>专科无学位</v>
      </c>
      <c r="G291" s="6" t="str">
        <f>"是"</f>
        <v>是</v>
      </c>
      <c r="H291" s="6" t="str">
        <f t="shared" si="47"/>
        <v>小学</v>
      </c>
      <c r="I291" s="6" t="str">
        <f t="shared" si="48"/>
        <v>102:语文</v>
      </c>
      <c r="J291" s="4" t="s">
        <v>10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s="4" customFormat="1" ht="26.1" customHeight="1">
      <c r="A292" s="3">
        <v>290</v>
      </c>
      <c r="B292" s="4" t="str">
        <f>"杨晓琼"</f>
        <v>杨晓琼</v>
      </c>
      <c r="C292" s="4" t="str">
        <f t="shared" si="49"/>
        <v xml:space="preserve">女        </v>
      </c>
      <c r="D292" s="4" t="str">
        <f t="shared" si="44"/>
        <v>汉族</v>
      </c>
      <c r="E292" s="5" t="str">
        <f>"广西幼儿师范高等专科学校英语教育"</f>
        <v>广西幼儿师范高等专科学校英语教育</v>
      </c>
      <c r="F292" s="5" t="str">
        <f>"专科无学位"</f>
        <v>专科无学位</v>
      </c>
      <c r="G292" s="6" t="str">
        <f>"是"</f>
        <v>是</v>
      </c>
      <c r="H292" s="6" t="str">
        <f t="shared" si="47"/>
        <v>小学</v>
      </c>
      <c r="I292" s="6" t="str">
        <f t="shared" si="48"/>
        <v>102:语文</v>
      </c>
      <c r="J292" s="4" t="s">
        <v>10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s="4" customFormat="1" ht="26.1" customHeight="1">
      <c r="A293" s="3">
        <v>291</v>
      </c>
      <c r="B293" s="4" t="str">
        <f>"项清华"</f>
        <v>项清华</v>
      </c>
      <c r="C293" s="4" t="str">
        <f t="shared" si="49"/>
        <v xml:space="preserve">女        </v>
      </c>
      <c r="D293" s="4" t="str">
        <f t="shared" si="44"/>
        <v>汉族</v>
      </c>
      <c r="E293" s="5" t="str">
        <f>"河池学院汉语言文学"</f>
        <v>河池学院汉语言文学</v>
      </c>
      <c r="F293" s="5" t="str">
        <f>"本科学士"</f>
        <v>本科学士</v>
      </c>
      <c r="G293" s="6" t="str">
        <f>"是"</f>
        <v>是</v>
      </c>
      <c r="H293" s="6" t="str">
        <f t="shared" si="47"/>
        <v>小学</v>
      </c>
      <c r="I293" s="6" t="str">
        <f t="shared" si="48"/>
        <v>102:语文</v>
      </c>
      <c r="J293" s="4" t="s">
        <v>10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s="4" customFormat="1" ht="26.1" customHeight="1">
      <c r="A294" s="3">
        <v>292</v>
      </c>
      <c r="B294" s="4" t="str">
        <f>"丘桂明"</f>
        <v>丘桂明</v>
      </c>
      <c r="C294" s="4" t="str">
        <f t="shared" si="49"/>
        <v xml:space="preserve">女        </v>
      </c>
      <c r="D294" s="4" t="str">
        <f t="shared" si="44"/>
        <v>汉族</v>
      </c>
      <c r="E294" s="5" t="str">
        <f>"湖南人文科技学院人文教育"</f>
        <v>湖南人文科技学院人文教育</v>
      </c>
      <c r="F294" s="5" t="str">
        <f>"本科学士"</f>
        <v>本科学士</v>
      </c>
      <c r="G294" s="6" t="str">
        <f>"是"</f>
        <v>是</v>
      </c>
      <c r="H294" s="6" t="str">
        <f t="shared" si="47"/>
        <v>小学</v>
      </c>
      <c r="I294" s="6" t="str">
        <f t="shared" si="48"/>
        <v>102:语文</v>
      </c>
      <c r="J294" s="4" t="s">
        <v>10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s="4" customFormat="1" ht="26.1" customHeight="1">
      <c r="A295" s="3">
        <v>293</v>
      </c>
      <c r="B295" s="4" t="str">
        <f>"吕岸莲"</f>
        <v>吕岸莲</v>
      </c>
      <c r="C295" s="4" t="str">
        <f t="shared" si="49"/>
        <v xml:space="preserve">女        </v>
      </c>
      <c r="D295" s="4" t="str">
        <f t="shared" si="44"/>
        <v>汉族</v>
      </c>
      <c r="E295" s="5" t="str">
        <f>"百色学院综合文科教育"</f>
        <v>百色学院综合文科教育</v>
      </c>
      <c r="F295" s="5" t="str">
        <f>"专科无学位"</f>
        <v>专科无学位</v>
      </c>
      <c r="G295" s="6" t="str">
        <f>"是"</f>
        <v>是</v>
      </c>
      <c r="H295" s="6" t="str">
        <f t="shared" si="47"/>
        <v>小学</v>
      </c>
      <c r="I295" s="6" t="str">
        <f t="shared" si="48"/>
        <v>102:语文</v>
      </c>
      <c r="J295" s="4" t="s">
        <v>10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s="4" customFormat="1" ht="26.1" customHeight="1">
      <c r="A296" s="3">
        <v>294</v>
      </c>
      <c r="B296" s="4" t="str">
        <f>"黄小阅"</f>
        <v>黄小阅</v>
      </c>
      <c r="C296" s="4" t="str">
        <f t="shared" si="49"/>
        <v xml:space="preserve">女        </v>
      </c>
      <c r="D296" s="4" t="str">
        <f t="shared" si="44"/>
        <v>汉族</v>
      </c>
      <c r="E296" s="5" t="str">
        <f>"广西外国语学院汉语言文学"</f>
        <v>广西外国语学院汉语言文学</v>
      </c>
      <c r="F296" s="5" t="str">
        <f>"本科学士"</f>
        <v>本科学士</v>
      </c>
      <c r="G296" s="6" t="str">
        <f>"不是"</f>
        <v>不是</v>
      </c>
      <c r="H296" s="6" t="str">
        <f t="shared" si="47"/>
        <v>小学</v>
      </c>
      <c r="I296" s="6" t="str">
        <f t="shared" si="48"/>
        <v>102:语文</v>
      </c>
      <c r="J296" s="4" t="s">
        <v>10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s="4" customFormat="1" ht="26.1" customHeight="1">
      <c r="A297" s="3">
        <v>295</v>
      </c>
      <c r="B297" s="4" t="str">
        <f>"何丽婷"</f>
        <v>何丽婷</v>
      </c>
      <c r="C297" s="4" t="str">
        <f t="shared" si="49"/>
        <v xml:space="preserve">女        </v>
      </c>
      <c r="D297" s="4" t="str">
        <f t="shared" si="44"/>
        <v>汉族</v>
      </c>
      <c r="E297" s="5" t="str">
        <f>"广西幼儿师范高等专科学校语文教育"</f>
        <v>广西幼儿师范高等专科学校语文教育</v>
      </c>
      <c r="F297" s="5" t="str">
        <f>"专科无学位"</f>
        <v>专科无学位</v>
      </c>
      <c r="G297" s="6" t="str">
        <f>"是"</f>
        <v>是</v>
      </c>
      <c r="H297" s="6" t="str">
        <f t="shared" si="47"/>
        <v>小学</v>
      </c>
      <c r="I297" s="6" t="str">
        <f t="shared" si="48"/>
        <v>102:语文</v>
      </c>
      <c r="J297" s="4" t="s">
        <v>10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s="4" customFormat="1" ht="26.1" customHeight="1">
      <c r="A298" s="3">
        <v>296</v>
      </c>
      <c r="B298" s="4" t="str">
        <f>"张晓丹"</f>
        <v>张晓丹</v>
      </c>
      <c r="C298" s="4" t="str">
        <f t="shared" si="49"/>
        <v xml:space="preserve">女        </v>
      </c>
      <c r="D298" s="4" t="str">
        <f t="shared" si="44"/>
        <v>汉族</v>
      </c>
      <c r="E298" s="5" t="str">
        <f>"广西教育学院汉语"</f>
        <v>广西教育学院汉语</v>
      </c>
      <c r="F298" s="5" t="str">
        <f>"专科无学位"</f>
        <v>专科无学位</v>
      </c>
      <c r="G298" s="6" t="str">
        <f>"是"</f>
        <v>是</v>
      </c>
      <c r="H298" s="6" t="str">
        <f t="shared" si="47"/>
        <v>小学</v>
      </c>
      <c r="I298" s="6" t="str">
        <f t="shared" si="48"/>
        <v>102:语文</v>
      </c>
      <c r="J298" s="4" t="s">
        <v>10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s="4" customFormat="1" ht="26.1" customHeight="1">
      <c r="A299" s="3">
        <v>297</v>
      </c>
      <c r="B299" s="4" t="str">
        <f>"梁妍"</f>
        <v>梁妍</v>
      </c>
      <c r="C299" s="4" t="str">
        <f t="shared" si="49"/>
        <v xml:space="preserve">女        </v>
      </c>
      <c r="D299" s="4" t="str">
        <f t="shared" si="44"/>
        <v>汉族</v>
      </c>
      <c r="E299" s="5" t="str">
        <f>"广西外国语学院汉语国际教育"</f>
        <v>广西外国语学院汉语国际教育</v>
      </c>
      <c r="F299" s="5" t="str">
        <f>"本科学士"</f>
        <v>本科学士</v>
      </c>
      <c r="G299" s="6" t="str">
        <f>"不是"</f>
        <v>不是</v>
      </c>
      <c r="H299" s="6" t="str">
        <f t="shared" si="47"/>
        <v>小学</v>
      </c>
      <c r="I299" s="6" t="str">
        <f t="shared" si="48"/>
        <v>102:语文</v>
      </c>
      <c r="J299" s="4" t="s">
        <v>10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s="4" customFormat="1" ht="26.1" customHeight="1">
      <c r="A300" s="3">
        <v>298</v>
      </c>
      <c r="B300" s="4" t="str">
        <f>"杨诗丽"</f>
        <v>杨诗丽</v>
      </c>
      <c r="C300" s="4" t="str">
        <f t="shared" si="49"/>
        <v xml:space="preserve">女        </v>
      </c>
      <c r="D300" s="4" t="str">
        <f t="shared" si="44"/>
        <v>汉族</v>
      </c>
      <c r="E300" s="5" t="str">
        <f>"河池学院对外汉语"</f>
        <v>河池学院对外汉语</v>
      </c>
      <c r="F300" s="5" t="str">
        <f>"本科学士"</f>
        <v>本科学士</v>
      </c>
      <c r="G300" s="6" t="str">
        <f>"不是"</f>
        <v>不是</v>
      </c>
      <c r="H300" s="6" t="str">
        <f t="shared" si="47"/>
        <v>小学</v>
      </c>
      <c r="I300" s="6" t="str">
        <f t="shared" si="48"/>
        <v>102:语文</v>
      </c>
      <c r="J300" s="4" t="s">
        <v>10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s="4" customFormat="1" ht="26.1" customHeight="1">
      <c r="A301" s="3">
        <v>299</v>
      </c>
      <c r="B301" s="4" t="str">
        <f>"陈洁"</f>
        <v>陈洁</v>
      </c>
      <c r="C301" s="4" t="str">
        <f t="shared" si="49"/>
        <v xml:space="preserve">女        </v>
      </c>
      <c r="D301" s="4" t="str">
        <f t="shared" si="44"/>
        <v>汉族</v>
      </c>
      <c r="E301" s="5" t="str">
        <f>"广西财经学院会计学"</f>
        <v>广西财经学院会计学</v>
      </c>
      <c r="F301" s="5" t="str">
        <f>"本科学士"</f>
        <v>本科学士</v>
      </c>
      <c r="G301" s="6" t="str">
        <f>"不是"</f>
        <v>不是</v>
      </c>
      <c r="H301" s="6" t="str">
        <f t="shared" si="47"/>
        <v>小学</v>
      </c>
      <c r="I301" s="6" t="str">
        <f t="shared" si="48"/>
        <v>102:语文</v>
      </c>
      <c r="J301" s="4" t="s">
        <v>10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s="4" customFormat="1" ht="26.1" customHeight="1">
      <c r="A302" s="3">
        <v>300</v>
      </c>
      <c r="B302" s="4" t="str">
        <f>"李宏梅"</f>
        <v>李宏梅</v>
      </c>
      <c r="C302" s="4" t="str">
        <f t="shared" si="49"/>
        <v xml:space="preserve">女        </v>
      </c>
      <c r="D302" s="4" t="str">
        <f t="shared" si="44"/>
        <v>汉族</v>
      </c>
      <c r="E302" s="5" t="str">
        <f>"百色学院综合文科教育"</f>
        <v>百色学院综合文科教育</v>
      </c>
      <c r="F302" s="5" t="str">
        <f>"专科无学位"</f>
        <v>专科无学位</v>
      </c>
      <c r="G302" s="6" t="str">
        <f t="shared" ref="G302:G307" si="51">"是"</f>
        <v>是</v>
      </c>
      <c r="H302" s="6" t="str">
        <f t="shared" si="47"/>
        <v>小学</v>
      </c>
      <c r="I302" s="6" t="str">
        <f t="shared" si="48"/>
        <v>102:语文</v>
      </c>
      <c r="J302" s="4" t="s">
        <v>10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s="4" customFormat="1" ht="26.1" customHeight="1">
      <c r="A303" s="3">
        <v>301</v>
      </c>
      <c r="B303" s="4" t="str">
        <f>"陈凤清"</f>
        <v>陈凤清</v>
      </c>
      <c r="C303" s="4" t="str">
        <f t="shared" si="49"/>
        <v xml:space="preserve">女        </v>
      </c>
      <c r="D303" s="4" t="str">
        <f t="shared" si="44"/>
        <v>汉族</v>
      </c>
      <c r="E303" s="5" t="str">
        <f>"广西师范大学漓江学院汉语言文学"</f>
        <v>广西师范大学漓江学院汉语言文学</v>
      </c>
      <c r="F303" s="5" t="str">
        <f>"本科学士"</f>
        <v>本科学士</v>
      </c>
      <c r="G303" s="6" t="str">
        <f t="shared" si="51"/>
        <v>是</v>
      </c>
      <c r="H303" s="6" t="str">
        <f t="shared" si="47"/>
        <v>小学</v>
      </c>
      <c r="I303" s="6" t="str">
        <f t="shared" si="48"/>
        <v>102:语文</v>
      </c>
      <c r="J303" s="4" t="s">
        <v>10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s="4" customFormat="1" ht="26.1" customHeight="1">
      <c r="A304" s="3">
        <v>302</v>
      </c>
      <c r="B304" s="4" t="str">
        <f>"卢雅君"</f>
        <v>卢雅君</v>
      </c>
      <c r="C304" s="4" t="str">
        <f t="shared" si="49"/>
        <v xml:space="preserve">女        </v>
      </c>
      <c r="D304" s="4" t="str">
        <f t="shared" si="44"/>
        <v>汉族</v>
      </c>
      <c r="E304" s="5" t="str">
        <f>"广西教育学院初等教育"</f>
        <v>广西教育学院初等教育</v>
      </c>
      <c r="F304" s="5" t="str">
        <f>"专科无学位"</f>
        <v>专科无学位</v>
      </c>
      <c r="G304" s="6" t="str">
        <f t="shared" si="51"/>
        <v>是</v>
      </c>
      <c r="H304" s="6" t="str">
        <f t="shared" si="47"/>
        <v>小学</v>
      </c>
      <c r="I304" s="6" t="str">
        <f t="shared" si="48"/>
        <v>102:语文</v>
      </c>
      <c r="J304" s="4" t="s">
        <v>10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s="4" customFormat="1" ht="26.1" customHeight="1">
      <c r="A305" s="3">
        <v>303</v>
      </c>
      <c r="B305" s="4" t="str">
        <f>"黄漫婷"</f>
        <v>黄漫婷</v>
      </c>
      <c r="C305" s="4" t="str">
        <f t="shared" si="49"/>
        <v xml:space="preserve">女        </v>
      </c>
      <c r="D305" s="4" t="str">
        <f t="shared" si="44"/>
        <v>汉族</v>
      </c>
      <c r="E305" s="5" t="str">
        <f>"广西科技师范学院汉语"</f>
        <v>广西科技师范学院汉语</v>
      </c>
      <c r="F305" s="5" t="str">
        <f>"专科无学位"</f>
        <v>专科无学位</v>
      </c>
      <c r="G305" s="6" t="str">
        <f t="shared" si="51"/>
        <v>是</v>
      </c>
      <c r="H305" s="6" t="str">
        <f t="shared" si="47"/>
        <v>小学</v>
      </c>
      <c r="I305" s="6" t="str">
        <f t="shared" si="48"/>
        <v>102:语文</v>
      </c>
      <c r="J305" s="4" t="s">
        <v>10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s="4" customFormat="1" ht="26.1" customHeight="1">
      <c r="A306" s="3">
        <v>304</v>
      </c>
      <c r="B306" s="4" t="str">
        <f>"韦庆熙"</f>
        <v>韦庆熙</v>
      </c>
      <c r="C306" s="4" t="str">
        <f t="shared" si="49"/>
        <v xml:space="preserve">女        </v>
      </c>
      <c r="D306" s="4" t="str">
        <f>"壮族"</f>
        <v>壮族</v>
      </c>
      <c r="E306" s="5" t="str">
        <f>"广西教育学院汉语"</f>
        <v>广西教育学院汉语</v>
      </c>
      <c r="F306" s="5" t="str">
        <f>"专科无学位"</f>
        <v>专科无学位</v>
      </c>
      <c r="G306" s="6" t="str">
        <f t="shared" si="51"/>
        <v>是</v>
      </c>
      <c r="H306" s="6" t="str">
        <f t="shared" si="47"/>
        <v>小学</v>
      </c>
      <c r="I306" s="6" t="str">
        <f t="shared" si="48"/>
        <v>102:语文</v>
      </c>
      <c r="J306" s="4" t="s">
        <v>10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s="4" customFormat="1" ht="26.1" customHeight="1">
      <c r="A307" s="3">
        <v>305</v>
      </c>
      <c r="B307" s="4" t="str">
        <f>"曾丽梅"</f>
        <v>曾丽梅</v>
      </c>
      <c r="C307" s="4" t="str">
        <f t="shared" si="49"/>
        <v xml:space="preserve">女        </v>
      </c>
      <c r="D307" s="4" t="str">
        <f t="shared" ref="D307:D314" si="52">"汉族"</f>
        <v>汉族</v>
      </c>
      <c r="E307" s="5" t="str">
        <f>"桂林师范高等专科学校汉语"</f>
        <v>桂林师范高等专科学校汉语</v>
      </c>
      <c r="F307" s="5" t="str">
        <f>"专科无学位"</f>
        <v>专科无学位</v>
      </c>
      <c r="G307" s="6" t="str">
        <f t="shared" si="51"/>
        <v>是</v>
      </c>
      <c r="H307" s="6" t="str">
        <f t="shared" si="47"/>
        <v>小学</v>
      </c>
      <c r="I307" s="6" t="str">
        <f t="shared" si="48"/>
        <v>102:语文</v>
      </c>
      <c r="J307" s="4" t="s">
        <v>10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s="4" customFormat="1" ht="26.1" customHeight="1">
      <c r="A308" s="3">
        <v>306</v>
      </c>
      <c r="B308" s="4" t="str">
        <f>"邱振英"</f>
        <v>邱振英</v>
      </c>
      <c r="C308" s="4" t="str">
        <f t="shared" si="49"/>
        <v xml:space="preserve">女        </v>
      </c>
      <c r="D308" s="4" t="str">
        <f t="shared" si="52"/>
        <v>汉族</v>
      </c>
      <c r="E308" s="5" t="str">
        <f>"玉林师范学院汉语言文学现代文秘"</f>
        <v>玉林师范学院汉语言文学现代文秘</v>
      </c>
      <c r="F308" s="5" t="str">
        <f>"本科学士"</f>
        <v>本科学士</v>
      </c>
      <c r="G308" s="6" t="str">
        <f>"不是"</f>
        <v>不是</v>
      </c>
      <c r="H308" s="6" t="str">
        <f t="shared" si="47"/>
        <v>小学</v>
      </c>
      <c r="I308" s="6" t="str">
        <f t="shared" si="48"/>
        <v>102:语文</v>
      </c>
      <c r="J308" s="4" t="s">
        <v>10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s="4" customFormat="1" ht="26.1" customHeight="1">
      <c r="A309" s="3">
        <v>307</v>
      </c>
      <c r="B309" s="4" t="str">
        <f>"杨璧溶"</f>
        <v>杨璧溶</v>
      </c>
      <c r="C309" s="4" t="str">
        <f t="shared" si="49"/>
        <v xml:space="preserve">女        </v>
      </c>
      <c r="D309" s="4" t="str">
        <f t="shared" si="52"/>
        <v>汉族</v>
      </c>
      <c r="E309" s="5" t="str">
        <f>"广西师范学院教育学"</f>
        <v>广西师范学院教育学</v>
      </c>
      <c r="F309" s="5" t="str">
        <f>"本科学士"</f>
        <v>本科学士</v>
      </c>
      <c r="G309" s="6" t="str">
        <f>"是"</f>
        <v>是</v>
      </c>
      <c r="H309" s="6" t="str">
        <f t="shared" si="47"/>
        <v>小学</v>
      </c>
      <c r="I309" s="6" t="str">
        <f t="shared" si="48"/>
        <v>102:语文</v>
      </c>
      <c r="J309" s="4" t="s">
        <v>10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s="4" customFormat="1" ht="26.1" customHeight="1">
      <c r="A310" s="3">
        <v>308</v>
      </c>
      <c r="B310" s="4" t="str">
        <f>"蔡杨燕"</f>
        <v>蔡杨燕</v>
      </c>
      <c r="C310" s="4" t="str">
        <f t="shared" si="49"/>
        <v xml:space="preserve">女        </v>
      </c>
      <c r="D310" s="4" t="str">
        <f t="shared" si="52"/>
        <v>汉族</v>
      </c>
      <c r="E310" s="5" t="str">
        <f>"广西教育学院汉语"</f>
        <v>广西教育学院汉语</v>
      </c>
      <c r="F310" s="5" t="str">
        <f>"专科无学位"</f>
        <v>专科无学位</v>
      </c>
      <c r="G310" s="6" t="str">
        <f>"是"</f>
        <v>是</v>
      </c>
      <c r="H310" s="6" t="str">
        <f t="shared" si="47"/>
        <v>小学</v>
      </c>
      <c r="I310" s="6" t="str">
        <f t="shared" si="48"/>
        <v>102:语文</v>
      </c>
      <c r="J310" s="4" t="s">
        <v>10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s="4" customFormat="1" ht="26.1" customHeight="1">
      <c r="A311" s="3">
        <v>309</v>
      </c>
      <c r="B311" s="4" t="str">
        <f>"冯静"</f>
        <v>冯静</v>
      </c>
      <c r="C311" s="4" t="str">
        <f t="shared" si="49"/>
        <v xml:space="preserve">女        </v>
      </c>
      <c r="D311" s="4" t="str">
        <f t="shared" si="52"/>
        <v>汉族</v>
      </c>
      <c r="E311" s="5" t="str">
        <f>"百色学院学前教育"</f>
        <v>百色学院学前教育</v>
      </c>
      <c r="F311" s="5" t="str">
        <f>"专科无学位"</f>
        <v>专科无学位</v>
      </c>
      <c r="G311" s="6" t="str">
        <f>"是"</f>
        <v>是</v>
      </c>
      <c r="H311" s="6" t="str">
        <f t="shared" si="47"/>
        <v>小学</v>
      </c>
      <c r="I311" s="6" t="str">
        <f t="shared" si="48"/>
        <v>102:语文</v>
      </c>
      <c r="J311" s="4" t="s">
        <v>10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s="4" customFormat="1" ht="26.1" customHeight="1">
      <c r="A312" s="3">
        <v>310</v>
      </c>
      <c r="B312" s="4" t="str">
        <f>"杨文娇"</f>
        <v>杨文娇</v>
      </c>
      <c r="C312" s="4" t="str">
        <f t="shared" si="49"/>
        <v xml:space="preserve">女        </v>
      </c>
      <c r="D312" s="4" t="str">
        <f t="shared" si="52"/>
        <v>汉族</v>
      </c>
      <c r="E312" s="5" t="str">
        <f>"河池学院语文教育"</f>
        <v>河池学院语文教育</v>
      </c>
      <c r="F312" s="5" t="str">
        <f>"专科无学位"</f>
        <v>专科无学位</v>
      </c>
      <c r="G312" s="6" t="str">
        <f>"是"</f>
        <v>是</v>
      </c>
      <c r="H312" s="6" t="str">
        <f t="shared" si="47"/>
        <v>小学</v>
      </c>
      <c r="I312" s="6" t="str">
        <f t="shared" si="48"/>
        <v>102:语文</v>
      </c>
      <c r="J312" s="4" t="s">
        <v>10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s="4" customFormat="1" ht="26.1" customHeight="1">
      <c r="A313" s="3">
        <v>311</v>
      </c>
      <c r="B313" s="4" t="str">
        <f>"林子然"</f>
        <v>林子然</v>
      </c>
      <c r="C313" s="4" t="str">
        <f t="shared" si="49"/>
        <v xml:space="preserve">女        </v>
      </c>
      <c r="D313" s="4" t="str">
        <f t="shared" si="52"/>
        <v>汉族</v>
      </c>
      <c r="E313" s="5" t="str">
        <f>"湖南科技学院广播电视学专业"</f>
        <v>湖南科技学院广播电视学专业</v>
      </c>
      <c r="F313" s="5" t="str">
        <f t="shared" ref="F313:F318" si="53">"本科学士"</f>
        <v>本科学士</v>
      </c>
      <c r="G313" s="6" t="str">
        <f>"不是"</f>
        <v>不是</v>
      </c>
      <c r="H313" s="6" t="str">
        <f t="shared" si="47"/>
        <v>小学</v>
      </c>
      <c r="I313" s="6" t="str">
        <f t="shared" si="48"/>
        <v>102:语文</v>
      </c>
      <c r="J313" s="4" t="s">
        <v>10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s="4" customFormat="1" ht="26.1" customHeight="1">
      <c r="A314" s="3">
        <v>312</v>
      </c>
      <c r="B314" s="4" t="str">
        <f>"卜婷婷"</f>
        <v>卜婷婷</v>
      </c>
      <c r="C314" s="4" t="str">
        <f t="shared" si="49"/>
        <v xml:space="preserve">女        </v>
      </c>
      <c r="D314" s="4" t="str">
        <f t="shared" si="52"/>
        <v>汉族</v>
      </c>
      <c r="E314" s="5" t="str">
        <f>"广西师范大学漓江学院汉语言文学"</f>
        <v>广西师范大学漓江学院汉语言文学</v>
      </c>
      <c r="F314" s="5" t="str">
        <f t="shared" si="53"/>
        <v>本科学士</v>
      </c>
      <c r="G314" s="6" t="str">
        <f>"是"</f>
        <v>是</v>
      </c>
      <c r="H314" s="6" t="str">
        <f t="shared" si="47"/>
        <v>小学</v>
      </c>
      <c r="I314" s="6" t="str">
        <f t="shared" si="48"/>
        <v>102:语文</v>
      </c>
      <c r="J314" s="4" t="s">
        <v>10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s="4" customFormat="1" ht="26.1" customHeight="1">
      <c r="A315" s="3">
        <v>313</v>
      </c>
      <c r="B315" s="4" t="str">
        <f>"黄贞红"</f>
        <v>黄贞红</v>
      </c>
      <c r="C315" s="4" t="str">
        <f t="shared" si="49"/>
        <v xml:space="preserve">女        </v>
      </c>
      <c r="D315" s="4" t="str">
        <f>"壮族"</f>
        <v>壮族</v>
      </c>
      <c r="E315" s="5" t="str">
        <f>"玉林师范学院学前教育"</f>
        <v>玉林师范学院学前教育</v>
      </c>
      <c r="F315" s="5" t="str">
        <f t="shared" si="53"/>
        <v>本科学士</v>
      </c>
      <c r="G315" s="6" t="str">
        <f>"是"</f>
        <v>是</v>
      </c>
      <c r="H315" s="6" t="str">
        <f t="shared" si="47"/>
        <v>小学</v>
      </c>
      <c r="I315" s="6" t="str">
        <f t="shared" si="48"/>
        <v>102:语文</v>
      </c>
      <c r="J315" s="4" t="s">
        <v>10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s="4" customFormat="1" ht="26.1" customHeight="1">
      <c r="A316" s="3">
        <v>314</v>
      </c>
      <c r="B316" s="4" t="str">
        <f>"牟永晓"</f>
        <v>牟永晓</v>
      </c>
      <c r="C316" s="4" t="str">
        <f t="shared" si="49"/>
        <v xml:space="preserve">女        </v>
      </c>
      <c r="D316" s="4" t="str">
        <f t="shared" ref="D316:D366" si="54">"汉族"</f>
        <v>汉族</v>
      </c>
      <c r="E316" s="5" t="str">
        <f>"桂林理工大学行政管理"</f>
        <v>桂林理工大学行政管理</v>
      </c>
      <c r="F316" s="5" t="str">
        <f t="shared" si="53"/>
        <v>本科学士</v>
      </c>
      <c r="G316" s="6" t="str">
        <f>"不是"</f>
        <v>不是</v>
      </c>
      <c r="H316" s="6" t="str">
        <f t="shared" si="47"/>
        <v>小学</v>
      </c>
      <c r="I316" s="6" t="str">
        <f t="shared" si="48"/>
        <v>102:语文</v>
      </c>
      <c r="J316" s="4" t="s">
        <v>10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s="4" customFormat="1" ht="26.1" customHeight="1">
      <c r="A317" s="3">
        <v>315</v>
      </c>
      <c r="B317" s="4" t="str">
        <f>"刘海月"</f>
        <v>刘海月</v>
      </c>
      <c r="C317" s="4" t="str">
        <f t="shared" si="49"/>
        <v xml:space="preserve">女        </v>
      </c>
      <c r="D317" s="4" t="str">
        <f t="shared" si="54"/>
        <v>汉族</v>
      </c>
      <c r="E317" s="5" t="str">
        <f>"百色学院汉语言文学"</f>
        <v>百色学院汉语言文学</v>
      </c>
      <c r="F317" s="5" t="str">
        <f t="shared" si="53"/>
        <v>本科学士</v>
      </c>
      <c r="G317" s="6" t="str">
        <f t="shared" ref="G317:G324" si="55">"是"</f>
        <v>是</v>
      </c>
      <c r="H317" s="6" t="str">
        <f t="shared" si="47"/>
        <v>小学</v>
      </c>
      <c r="I317" s="6" t="str">
        <f t="shared" si="48"/>
        <v>102:语文</v>
      </c>
      <c r="J317" s="4" t="s">
        <v>10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s="4" customFormat="1" ht="26.1" customHeight="1">
      <c r="A318" s="3">
        <v>316</v>
      </c>
      <c r="B318" s="4" t="str">
        <f>"吕伟丽"</f>
        <v>吕伟丽</v>
      </c>
      <c r="C318" s="4" t="str">
        <f t="shared" si="49"/>
        <v xml:space="preserve">女        </v>
      </c>
      <c r="D318" s="4" t="str">
        <f t="shared" si="54"/>
        <v>汉族</v>
      </c>
      <c r="E318" s="5" t="str">
        <f>"广西师范学院汉语言文学"</f>
        <v>广西师范学院汉语言文学</v>
      </c>
      <c r="F318" s="5" t="str">
        <f t="shared" si="53"/>
        <v>本科学士</v>
      </c>
      <c r="G318" s="6" t="str">
        <f t="shared" si="55"/>
        <v>是</v>
      </c>
      <c r="H318" s="6" t="str">
        <f t="shared" si="47"/>
        <v>小学</v>
      </c>
      <c r="I318" s="6" t="str">
        <f t="shared" si="48"/>
        <v>102:语文</v>
      </c>
      <c r="J318" s="4" t="s">
        <v>10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s="4" customFormat="1" ht="26.1" customHeight="1">
      <c r="A319" s="3">
        <v>317</v>
      </c>
      <c r="B319" s="4" t="str">
        <f>"曾宪雪"</f>
        <v>曾宪雪</v>
      </c>
      <c r="C319" s="4" t="str">
        <f t="shared" si="49"/>
        <v xml:space="preserve">女        </v>
      </c>
      <c r="D319" s="4" t="str">
        <f t="shared" si="54"/>
        <v>汉族</v>
      </c>
      <c r="E319" s="5" t="str">
        <f>"广西科技师范大学语文教育"</f>
        <v>广西科技师范大学语文教育</v>
      </c>
      <c r="F319" s="5" t="str">
        <f>"专科无学位"</f>
        <v>专科无学位</v>
      </c>
      <c r="G319" s="6" t="str">
        <f t="shared" si="55"/>
        <v>是</v>
      </c>
      <c r="H319" s="6" t="str">
        <f t="shared" si="47"/>
        <v>小学</v>
      </c>
      <c r="I319" s="6" t="str">
        <f t="shared" si="48"/>
        <v>102:语文</v>
      </c>
      <c r="J319" s="4" t="s">
        <v>10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s="4" customFormat="1" ht="26.1" customHeight="1">
      <c r="A320" s="3">
        <v>318</v>
      </c>
      <c r="B320" s="4" t="str">
        <f>"宁伟杰"</f>
        <v>宁伟杰</v>
      </c>
      <c r="C320" s="4" t="str">
        <f>"男        "</f>
        <v xml:space="preserve">男        </v>
      </c>
      <c r="D320" s="4" t="str">
        <f t="shared" si="54"/>
        <v>汉族</v>
      </c>
      <c r="E320" s="5" t="str">
        <f>"广西工业职业技术学院语文教育"</f>
        <v>广西工业职业技术学院语文教育</v>
      </c>
      <c r="F320" s="5" t="str">
        <f>"专科无学位"</f>
        <v>专科无学位</v>
      </c>
      <c r="G320" s="6" t="str">
        <f t="shared" si="55"/>
        <v>是</v>
      </c>
      <c r="H320" s="6" t="str">
        <f t="shared" si="47"/>
        <v>小学</v>
      </c>
      <c r="I320" s="6" t="str">
        <f t="shared" si="48"/>
        <v>102:语文</v>
      </c>
      <c r="J320" s="4" t="s">
        <v>10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s="4" customFormat="1" ht="26.1" customHeight="1">
      <c r="A321" s="3">
        <v>319</v>
      </c>
      <c r="B321" s="4" t="str">
        <f>"陈雁"</f>
        <v>陈雁</v>
      </c>
      <c r="C321" s="4" t="str">
        <f t="shared" ref="C321:C329" si="56">"女        "</f>
        <v xml:space="preserve">女        </v>
      </c>
      <c r="D321" s="4" t="str">
        <f t="shared" si="54"/>
        <v>汉族</v>
      </c>
      <c r="E321" s="5" t="str">
        <f>"河南省焦作师范高等专科学校语文教育"</f>
        <v>河南省焦作师范高等专科学校语文教育</v>
      </c>
      <c r="F321" s="5" t="str">
        <f>"专科无学位"</f>
        <v>专科无学位</v>
      </c>
      <c r="G321" s="6" t="str">
        <f t="shared" si="55"/>
        <v>是</v>
      </c>
      <c r="H321" s="6" t="str">
        <f t="shared" si="47"/>
        <v>小学</v>
      </c>
      <c r="I321" s="6" t="str">
        <f t="shared" si="48"/>
        <v>102:语文</v>
      </c>
      <c r="J321" s="4" t="s">
        <v>10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s="4" customFormat="1" ht="26.1" customHeight="1">
      <c r="A322" s="3">
        <v>320</v>
      </c>
      <c r="B322" s="4" t="str">
        <f>"陈开虹"</f>
        <v>陈开虹</v>
      </c>
      <c r="C322" s="4" t="str">
        <f t="shared" si="56"/>
        <v xml:space="preserve">女        </v>
      </c>
      <c r="D322" s="4" t="str">
        <f t="shared" si="54"/>
        <v>汉族</v>
      </c>
      <c r="E322" s="5" t="str">
        <f>"桂林师范高等专科学校语文教育"</f>
        <v>桂林师范高等专科学校语文教育</v>
      </c>
      <c r="F322" s="5" t="str">
        <f>"专科学士"</f>
        <v>专科学士</v>
      </c>
      <c r="G322" s="6" t="str">
        <f t="shared" si="55"/>
        <v>是</v>
      </c>
      <c r="H322" s="6" t="str">
        <f t="shared" si="47"/>
        <v>小学</v>
      </c>
      <c r="I322" s="6" t="str">
        <f t="shared" si="48"/>
        <v>102:语文</v>
      </c>
      <c r="J322" s="4" t="s">
        <v>10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s="4" customFormat="1" ht="26.1" customHeight="1">
      <c r="A323" s="3">
        <v>321</v>
      </c>
      <c r="B323" s="4" t="str">
        <f>"刘庆新"</f>
        <v>刘庆新</v>
      </c>
      <c r="C323" s="4" t="str">
        <f t="shared" si="56"/>
        <v xml:space="preserve">女        </v>
      </c>
      <c r="D323" s="4" t="str">
        <f t="shared" si="54"/>
        <v>汉族</v>
      </c>
      <c r="E323" s="5" t="str">
        <f>"广西师范学院小学教育"</f>
        <v>广西师范学院小学教育</v>
      </c>
      <c r="F323" s="5" t="str">
        <f>"本科学士"</f>
        <v>本科学士</v>
      </c>
      <c r="G323" s="6" t="str">
        <f t="shared" si="55"/>
        <v>是</v>
      </c>
      <c r="H323" s="6" t="str">
        <f t="shared" si="47"/>
        <v>小学</v>
      </c>
      <c r="I323" s="6" t="str">
        <f t="shared" si="48"/>
        <v>102:语文</v>
      </c>
      <c r="J323" s="4" t="s">
        <v>10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s="4" customFormat="1" ht="26.1" customHeight="1">
      <c r="A324" s="3">
        <v>322</v>
      </c>
      <c r="B324" s="4" t="str">
        <f>"钟薇"</f>
        <v>钟薇</v>
      </c>
      <c r="C324" s="4" t="str">
        <f t="shared" si="56"/>
        <v xml:space="preserve">女        </v>
      </c>
      <c r="D324" s="4" t="str">
        <f t="shared" si="54"/>
        <v>汉族</v>
      </c>
      <c r="E324" s="5" t="str">
        <f>"广西科技师范学院汉语"</f>
        <v>广西科技师范学院汉语</v>
      </c>
      <c r="F324" s="5" t="str">
        <f>"专科无学位"</f>
        <v>专科无学位</v>
      </c>
      <c r="G324" s="6" t="str">
        <f t="shared" si="55"/>
        <v>是</v>
      </c>
      <c r="H324" s="6" t="str">
        <f t="shared" si="47"/>
        <v>小学</v>
      </c>
      <c r="I324" s="6" t="str">
        <f t="shared" si="48"/>
        <v>102:语文</v>
      </c>
      <c r="J324" s="4" t="s">
        <v>10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s="4" customFormat="1" ht="26.1" customHeight="1">
      <c r="A325" s="3">
        <v>323</v>
      </c>
      <c r="B325" s="4" t="str">
        <f>"罗媛青"</f>
        <v>罗媛青</v>
      </c>
      <c r="C325" s="4" t="str">
        <f t="shared" si="56"/>
        <v xml:space="preserve">女        </v>
      </c>
      <c r="D325" s="4" t="str">
        <f t="shared" si="54"/>
        <v>汉族</v>
      </c>
      <c r="E325" s="5" t="str">
        <f>"贺州学院秘书学"</f>
        <v>贺州学院秘书学</v>
      </c>
      <c r="F325" s="5" t="str">
        <f>"本科学士"</f>
        <v>本科学士</v>
      </c>
      <c r="G325" s="6" t="str">
        <f>"不是"</f>
        <v>不是</v>
      </c>
      <c r="H325" s="6" t="str">
        <f t="shared" si="47"/>
        <v>小学</v>
      </c>
      <c r="I325" s="6" t="str">
        <f t="shared" si="48"/>
        <v>102:语文</v>
      </c>
      <c r="J325" s="4" t="s">
        <v>10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s="4" customFormat="1" ht="26.1" customHeight="1">
      <c r="A326" s="3">
        <v>324</v>
      </c>
      <c r="B326" s="4" t="str">
        <f>"王金容"</f>
        <v>王金容</v>
      </c>
      <c r="C326" s="4" t="str">
        <f t="shared" si="56"/>
        <v xml:space="preserve">女        </v>
      </c>
      <c r="D326" s="4" t="str">
        <f t="shared" si="54"/>
        <v>汉族</v>
      </c>
      <c r="E326" s="5" t="str">
        <f>"荆楚理工学院语文教育"</f>
        <v>荆楚理工学院语文教育</v>
      </c>
      <c r="F326" s="5" t="str">
        <f>"专科无学位"</f>
        <v>专科无学位</v>
      </c>
      <c r="G326" s="6" t="str">
        <f t="shared" ref="G326:G331" si="57">"是"</f>
        <v>是</v>
      </c>
      <c r="H326" s="6" t="str">
        <f t="shared" si="47"/>
        <v>小学</v>
      </c>
      <c r="I326" s="6" t="str">
        <f t="shared" si="48"/>
        <v>102:语文</v>
      </c>
      <c r="J326" s="4" t="s">
        <v>10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s="4" customFormat="1" ht="26.1" customHeight="1">
      <c r="A327" s="3">
        <v>325</v>
      </c>
      <c r="B327" s="4" t="str">
        <f>"梁宁"</f>
        <v>梁宁</v>
      </c>
      <c r="C327" s="4" t="str">
        <f t="shared" si="56"/>
        <v xml:space="preserve">女        </v>
      </c>
      <c r="D327" s="4" t="str">
        <f t="shared" si="54"/>
        <v>汉族</v>
      </c>
      <c r="E327" s="5" t="str">
        <f>"广西教育学院汉语"</f>
        <v>广西教育学院汉语</v>
      </c>
      <c r="F327" s="5" t="str">
        <f>"专科无学位"</f>
        <v>专科无学位</v>
      </c>
      <c r="G327" s="6" t="str">
        <f t="shared" si="57"/>
        <v>是</v>
      </c>
      <c r="H327" s="6" t="str">
        <f t="shared" si="47"/>
        <v>小学</v>
      </c>
      <c r="I327" s="6" t="str">
        <f t="shared" si="48"/>
        <v>102:语文</v>
      </c>
      <c r="J327" s="4" t="s">
        <v>10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s="4" customFormat="1" ht="26.1" customHeight="1">
      <c r="A328" s="3">
        <v>326</v>
      </c>
      <c r="B328" s="4" t="str">
        <f>"石宝静"</f>
        <v>石宝静</v>
      </c>
      <c r="C328" s="4" t="str">
        <f t="shared" si="56"/>
        <v xml:space="preserve">女        </v>
      </c>
      <c r="D328" s="4" t="str">
        <f t="shared" si="54"/>
        <v>汉族</v>
      </c>
      <c r="E328" s="5" t="str">
        <f>"玉林师范学院汉语言文学"</f>
        <v>玉林师范学院汉语言文学</v>
      </c>
      <c r="F328" s="5" t="str">
        <f>"本科学士"</f>
        <v>本科学士</v>
      </c>
      <c r="G328" s="6" t="str">
        <f t="shared" si="57"/>
        <v>是</v>
      </c>
      <c r="H328" s="6" t="str">
        <f t="shared" si="47"/>
        <v>小学</v>
      </c>
      <c r="I328" s="6" t="str">
        <f t="shared" si="48"/>
        <v>102:语文</v>
      </c>
      <c r="J328" s="4" t="s">
        <v>10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s="4" customFormat="1" ht="26.1" customHeight="1">
      <c r="A329" s="3">
        <v>327</v>
      </c>
      <c r="B329" s="4" t="str">
        <f>"李成艳"</f>
        <v>李成艳</v>
      </c>
      <c r="C329" s="4" t="str">
        <f t="shared" si="56"/>
        <v xml:space="preserve">女        </v>
      </c>
      <c r="D329" s="4" t="str">
        <f t="shared" si="54"/>
        <v>汉族</v>
      </c>
      <c r="E329" s="5" t="str">
        <f>"玉溪师范学院汉语言文学"</f>
        <v>玉溪师范学院汉语言文学</v>
      </c>
      <c r="F329" s="5" t="str">
        <f>"本科学士"</f>
        <v>本科学士</v>
      </c>
      <c r="G329" s="6" t="str">
        <f t="shared" si="57"/>
        <v>是</v>
      </c>
      <c r="H329" s="6" t="str">
        <f t="shared" ref="H329:H392" si="58">"小学"</f>
        <v>小学</v>
      </c>
      <c r="I329" s="6" t="str">
        <f t="shared" ref="I329:I364" si="59">"102:语文"</f>
        <v>102:语文</v>
      </c>
      <c r="J329" s="4" t="s">
        <v>10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s="4" customFormat="1" ht="26.1" customHeight="1">
      <c r="A330" s="3">
        <v>328</v>
      </c>
      <c r="B330" s="4" t="str">
        <f>"禤岭峰"</f>
        <v>禤岭峰</v>
      </c>
      <c r="C330" s="4" t="str">
        <f>"男        "</f>
        <v xml:space="preserve">男        </v>
      </c>
      <c r="D330" s="4" t="str">
        <f t="shared" si="54"/>
        <v>汉族</v>
      </c>
      <c r="E330" s="5" t="str">
        <f>"广西外国语学院对外汉语"</f>
        <v>广西外国语学院对外汉语</v>
      </c>
      <c r="F330" s="5" t="str">
        <f>"专科无学位"</f>
        <v>专科无学位</v>
      </c>
      <c r="G330" s="6" t="str">
        <f t="shared" si="57"/>
        <v>是</v>
      </c>
      <c r="H330" s="6" t="str">
        <f t="shared" si="58"/>
        <v>小学</v>
      </c>
      <c r="I330" s="6" t="str">
        <f t="shared" si="59"/>
        <v>102:语文</v>
      </c>
      <c r="J330" s="4" t="s">
        <v>10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s="4" customFormat="1" ht="26.1" customHeight="1">
      <c r="A331" s="3">
        <v>329</v>
      </c>
      <c r="B331" s="4" t="str">
        <f>"林运金"</f>
        <v>林运金</v>
      </c>
      <c r="C331" s="4" t="str">
        <f t="shared" ref="C331:C368" si="60">"女        "</f>
        <v xml:space="preserve">女        </v>
      </c>
      <c r="D331" s="4" t="str">
        <f t="shared" si="54"/>
        <v>汉族</v>
      </c>
      <c r="E331" s="5" t="str">
        <f>"广西师范学院汉语言文学"</f>
        <v>广西师范学院汉语言文学</v>
      </c>
      <c r="F331" s="5" t="str">
        <f>"本科学士"</f>
        <v>本科学士</v>
      </c>
      <c r="G331" s="6" t="str">
        <f t="shared" si="57"/>
        <v>是</v>
      </c>
      <c r="H331" s="6" t="str">
        <f t="shared" si="58"/>
        <v>小学</v>
      </c>
      <c r="I331" s="6" t="str">
        <f t="shared" si="59"/>
        <v>102:语文</v>
      </c>
      <c r="J331" s="4" t="s">
        <v>10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s="4" customFormat="1" ht="26.1" customHeight="1">
      <c r="A332" s="3">
        <v>330</v>
      </c>
      <c r="B332" s="4" t="str">
        <f>"陈佩"</f>
        <v>陈佩</v>
      </c>
      <c r="C332" s="4" t="str">
        <f t="shared" si="60"/>
        <v xml:space="preserve">女        </v>
      </c>
      <c r="D332" s="4" t="str">
        <f t="shared" si="54"/>
        <v>汉族</v>
      </c>
      <c r="E332" s="5" t="str">
        <f>"广西外国语学院汉语言文学"</f>
        <v>广西外国语学院汉语言文学</v>
      </c>
      <c r="F332" s="5" t="str">
        <f>"本科学士"</f>
        <v>本科学士</v>
      </c>
      <c r="G332" s="6" t="str">
        <f>"不是"</f>
        <v>不是</v>
      </c>
      <c r="H332" s="6" t="str">
        <f t="shared" si="58"/>
        <v>小学</v>
      </c>
      <c r="I332" s="6" t="str">
        <f t="shared" si="59"/>
        <v>102:语文</v>
      </c>
      <c r="J332" s="4" t="s">
        <v>10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s="4" customFormat="1" ht="26.1" customHeight="1">
      <c r="A333" s="3">
        <v>331</v>
      </c>
      <c r="B333" s="4" t="str">
        <f>"陈瑜平"</f>
        <v>陈瑜平</v>
      </c>
      <c r="C333" s="4" t="str">
        <f t="shared" si="60"/>
        <v xml:space="preserve">女        </v>
      </c>
      <c r="D333" s="4" t="str">
        <f t="shared" si="54"/>
        <v>汉族</v>
      </c>
      <c r="E333" s="5" t="str">
        <f>"玉林师范学院历史学"</f>
        <v>玉林师范学院历史学</v>
      </c>
      <c r="F333" s="5" t="str">
        <f>"本科学士"</f>
        <v>本科学士</v>
      </c>
      <c r="G333" s="6" t="str">
        <f>"不是"</f>
        <v>不是</v>
      </c>
      <c r="H333" s="6" t="str">
        <f t="shared" si="58"/>
        <v>小学</v>
      </c>
      <c r="I333" s="6" t="str">
        <f t="shared" si="59"/>
        <v>102:语文</v>
      </c>
      <c r="J333" s="4" t="s">
        <v>10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s="4" customFormat="1" ht="26.1" customHeight="1">
      <c r="A334" s="3">
        <v>332</v>
      </c>
      <c r="B334" s="4" t="str">
        <f>"曾琰"</f>
        <v>曾琰</v>
      </c>
      <c r="C334" s="4" t="str">
        <f t="shared" si="60"/>
        <v xml:space="preserve">女        </v>
      </c>
      <c r="D334" s="4" t="str">
        <f t="shared" si="54"/>
        <v>汉族</v>
      </c>
      <c r="E334" s="5" t="str">
        <f>"天津师范大学津沽学院汉语言文学"</f>
        <v>天津师范大学津沽学院汉语言文学</v>
      </c>
      <c r="F334" s="5" t="str">
        <f>"本科学士"</f>
        <v>本科学士</v>
      </c>
      <c r="G334" s="6" t="str">
        <f>"不是"</f>
        <v>不是</v>
      </c>
      <c r="H334" s="6" t="str">
        <f t="shared" si="58"/>
        <v>小学</v>
      </c>
      <c r="I334" s="6" t="str">
        <f t="shared" si="59"/>
        <v>102:语文</v>
      </c>
      <c r="J334" s="4" t="s">
        <v>10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s="4" customFormat="1" ht="26.1" customHeight="1">
      <c r="A335" s="3">
        <v>333</v>
      </c>
      <c r="B335" s="4" t="str">
        <f>"陈波君"</f>
        <v>陈波君</v>
      </c>
      <c r="C335" s="4" t="str">
        <f t="shared" si="60"/>
        <v xml:space="preserve">女        </v>
      </c>
      <c r="D335" s="4" t="str">
        <f t="shared" si="54"/>
        <v>汉族</v>
      </c>
      <c r="E335" s="5" t="str">
        <f>"百色学院汉语"</f>
        <v>百色学院汉语</v>
      </c>
      <c r="F335" s="5" t="str">
        <f>"专科无学位"</f>
        <v>专科无学位</v>
      </c>
      <c r="G335" s="6" t="str">
        <f t="shared" ref="G335:G340" si="61">"是"</f>
        <v>是</v>
      </c>
      <c r="H335" s="6" t="str">
        <f t="shared" si="58"/>
        <v>小学</v>
      </c>
      <c r="I335" s="6" t="str">
        <f t="shared" si="59"/>
        <v>102:语文</v>
      </c>
      <c r="J335" s="4" t="s">
        <v>10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s="4" customFormat="1" ht="26.1" customHeight="1">
      <c r="A336" s="3">
        <v>334</v>
      </c>
      <c r="B336" s="4" t="str">
        <f>"杨雯"</f>
        <v>杨雯</v>
      </c>
      <c r="C336" s="4" t="str">
        <f t="shared" si="60"/>
        <v xml:space="preserve">女        </v>
      </c>
      <c r="D336" s="4" t="str">
        <f t="shared" si="54"/>
        <v>汉族</v>
      </c>
      <c r="E336" s="5" t="str">
        <f>"百色学院综合文科教育"</f>
        <v>百色学院综合文科教育</v>
      </c>
      <c r="F336" s="5" t="str">
        <f>"专科无学位"</f>
        <v>专科无学位</v>
      </c>
      <c r="G336" s="6" t="str">
        <f t="shared" si="61"/>
        <v>是</v>
      </c>
      <c r="H336" s="6" t="str">
        <f t="shared" si="58"/>
        <v>小学</v>
      </c>
      <c r="I336" s="6" t="str">
        <f t="shared" si="59"/>
        <v>102:语文</v>
      </c>
      <c r="J336" s="4" t="s">
        <v>10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s="4" customFormat="1" ht="26.1" customHeight="1">
      <c r="A337" s="3">
        <v>335</v>
      </c>
      <c r="B337" s="4" t="str">
        <f>"曹潆丹"</f>
        <v>曹潆丹</v>
      </c>
      <c r="C337" s="4" t="str">
        <f t="shared" si="60"/>
        <v xml:space="preserve">女        </v>
      </c>
      <c r="D337" s="4" t="str">
        <f t="shared" si="54"/>
        <v>汉族</v>
      </c>
      <c r="E337" s="5" t="str">
        <f>"贵阳学院小学教育"</f>
        <v>贵阳学院小学教育</v>
      </c>
      <c r="F337" s="5" t="str">
        <f>"本科学士"</f>
        <v>本科学士</v>
      </c>
      <c r="G337" s="6" t="str">
        <f t="shared" si="61"/>
        <v>是</v>
      </c>
      <c r="H337" s="6" t="str">
        <f t="shared" si="58"/>
        <v>小学</v>
      </c>
      <c r="I337" s="6" t="str">
        <f t="shared" si="59"/>
        <v>102:语文</v>
      </c>
      <c r="J337" s="4" t="s">
        <v>10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s="4" customFormat="1" ht="26.1" customHeight="1">
      <c r="A338" s="3">
        <v>336</v>
      </c>
      <c r="B338" s="4" t="str">
        <f>"黎彩虹"</f>
        <v>黎彩虹</v>
      </c>
      <c r="C338" s="4" t="str">
        <f t="shared" si="60"/>
        <v xml:space="preserve">女        </v>
      </c>
      <c r="D338" s="4" t="str">
        <f t="shared" si="54"/>
        <v>汉族</v>
      </c>
      <c r="E338" s="5" t="str">
        <f>"柳州师范高等专科学校语文教育"</f>
        <v>柳州师范高等专科学校语文教育</v>
      </c>
      <c r="F338" s="5" t="str">
        <f>"专科学士"</f>
        <v>专科学士</v>
      </c>
      <c r="G338" s="6" t="str">
        <f t="shared" si="61"/>
        <v>是</v>
      </c>
      <c r="H338" s="6" t="str">
        <f t="shared" si="58"/>
        <v>小学</v>
      </c>
      <c r="I338" s="6" t="str">
        <f t="shared" si="59"/>
        <v>102:语文</v>
      </c>
      <c r="J338" s="4" t="s">
        <v>10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s="4" customFormat="1" ht="26.1" customHeight="1">
      <c r="A339" s="3">
        <v>337</v>
      </c>
      <c r="B339" s="4" t="str">
        <f>"刘禄梅"</f>
        <v>刘禄梅</v>
      </c>
      <c r="C339" s="4" t="str">
        <f t="shared" si="60"/>
        <v xml:space="preserve">女        </v>
      </c>
      <c r="D339" s="4" t="str">
        <f t="shared" si="54"/>
        <v>汉族</v>
      </c>
      <c r="E339" s="5" t="str">
        <f>"广西师范学院视觉传达设计"</f>
        <v>广西师范学院视觉传达设计</v>
      </c>
      <c r="F339" s="5" t="str">
        <f>"本科学士"</f>
        <v>本科学士</v>
      </c>
      <c r="G339" s="6" t="str">
        <f t="shared" si="61"/>
        <v>是</v>
      </c>
      <c r="H339" s="6" t="str">
        <f t="shared" si="58"/>
        <v>小学</v>
      </c>
      <c r="I339" s="6" t="str">
        <f t="shared" si="59"/>
        <v>102:语文</v>
      </c>
      <c r="J339" s="4" t="s">
        <v>10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s="4" customFormat="1" ht="26.1" customHeight="1">
      <c r="A340" s="3">
        <v>338</v>
      </c>
      <c r="B340" s="4" t="str">
        <f>"庞冰"</f>
        <v>庞冰</v>
      </c>
      <c r="C340" s="4" t="str">
        <f t="shared" si="60"/>
        <v xml:space="preserve">女        </v>
      </c>
      <c r="D340" s="4" t="str">
        <f t="shared" si="54"/>
        <v>汉族</v>
      </c>
      <c r="E340" s="5" t="str">
        <f>"桂林师范高等专科学校初等教育中文"</f>
        <v>桂林师范高等专科学校初等教育中文</v>
      </c>
      <c r="F340" s="5" t="str">
        <f>"专科无学位"</f>
        <v>专科无学位</v>
      </c>
      <c r="G340" s="6" t="str">
        <f t="shared" si="61"/>
        <v>是</v>
      </c>
      <c r="H340" s="6" t="str">
        <f t="shared" si="58"/>
        <v>小学</v>
      </c>
      <c r="I340" s="6" t="str">
        <f t="shared" si="59"/>
        <v>102:语文</v>
      </c>
      <c r="J340" s="4" t="s">
        <v>10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s="4" customFormat="1" ht="26.1" customHeight="1">
      <c r="A341" s="3">
        <v>339</v>
      </c>
      <c r="B341" s="4" t="str">
        <f>"杜沁蓓"</f>
        <v>杜沁蓓</v>
      </c>
      <c r="C341" s="4" t="str">
        <f t="shared" si="60"/>
        <v xml:space="preserve">女        </v>
      </c>
      <c r="D341" s="4" t="str">
        <f t="shared" si="54"/>
        <v>汉族</v>
      </c>
      <c r="E341" s="5" t="str">
        <f>"贵州大学汉语言文学"</f>
        <v>贵州大学汉语言文学</v>
      </c>
      <c r="F341" s="5" t="str">
        <f>"本科学士"</f>
        <v>本科学士</v>
      </c>
      <c r="G341" s="6" t="str">
        <f>"不是"</f>
        <v>不是</v>
      </c>
      <c r="H341" s="6" t="str">
        <f t="shared" si="58"/>
        <v>小学</v>
      </c>
      <c r="I341" s="6" t="str">
        <f t="shared" si="59"/>
        <v>102:语文</v>
      </c>
      <c r="J341" s="4" t="s">
        <v>10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s="4" customFormat="1" ht="26.1" customHeight="1">
      <c r="A342" s="3">
        <v>340</v>
      </c>
      <c r="B342" s="4" t="str">
        <f>"陈翠"</f>
        <v>陈翠</v>
      </c>
      <c r="C342" s="4" t="str">
        <f t="shared" si="60"/>
        <v xml:space="preserve">女        </v>
      </c>
      <c r="D342" s="4" t="str">
        <f t="shared" si="54"/>
        <v>汉族</v>
      </c>
      <c r="E342" s="5" t="str">
        <f>"广西教育学院初等教育"</f>
        <v>广西教育学院初等教育</v>
      </c>
      <c r="F342" s="5" t="str">
        <f>"专科无学位"</f>
        <v>专科无学位</v>
      </c>
      <c r="G342" s="6" t="str">
        <f t="shared" ref="G342:G354" si="62">"是"</f>
        <v>是</v>
      </c>
      <c r="H342" s="6" t="str">
        <f t="shared" si="58"/>
        <v>小学</v>
      </c>
      <c r="I342" s="6" t="str">
        <f t="shared" si="59"/>
        <v>102:语文</v>
      </c>
      <c r="J342" s="4" t="s">
        <v>10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s="4" customFormat="1" ht="26.1" customHeight="1">
      <c r="A343" s="3">
        <v>341</v>
      </c>
      <c r="B343" s="4" t="str">
        <f>"庞媚"</f>
        <v>庞媚</v>
      </c>
      <c r="C343" s="4" t="str">
        <f t="shared" si="60"/>
        <v xml:space="preserve">女        </v>
      </c>
      <c r="D343" s="4" t="str">
        <f t="shared" si="54"/>
        <v>汉族</v>
      </c>
      <c r="E343" s="5" t="str">
        <f>"广西师范大学学前教育"</f>
        <v>广西师范大学学前教育</v>
      </c>
      <c r="F343" s="5" t="str">
        <f>"本科学士"</f>
        <v>本科学士</v>
      </c>
      <c r="G343" s="6" t="str">
        <f t="shared" si="62"/>
        <v>是</v>
      </c>
      <c r="H343" s="6" t="str">
        <f t="shared" si="58"/>
        <v>小学</v>
      </c>
      <c r="I343" s="6" t="str">
        <f t="shared" si="59"/>
        <v>102:语文</v>
      </c>
      <c r="J343" s="4" t="s">
        <v>10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s="4" customFormat="1" ht="26.1" customHeight="1">
      <c r="A344" s="3">
        <v>342</v>
      </c>
      <c r="B344" s="4" t="str">
        <f>"杨媚"</f>
        <v>杨媚</v>
      </c>
      <c r="C344" s="4" t="str">
        <f t="shared" si="60"/>
        <v xml:space="preserve">女        </v>
      </c>
      <c r="D344" s="4" t="str">
        <f t="shared" si="54"/>
        <v>汉族</v>
      </c>
      <c r="E344" s="5" t="str">
        <f>"百色学院汉语言文学"</f>
        <v>百色学院汉语言文学</v>
      </c>
      <c r="F344" s="5" t="str">
        <f>"本科学士"</f>
        <v>本科学士</v>
      </c>
      <c r="G344" s="6" t="str">
        <f t="shared" si="62"/>
        <v>是</v>
      </c>
      <c r="H344" s="6" t="str">
        <f t="shared" si="58"/>
        <v>小学</v>
      </c>
      <c r="I344" s="6" t="str">
        <f t="shared" si="59"/>
        <v>102:语文</v>
      </c>
      <c r="J344" s="4" t="s">
        <v>10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s="4" customFormat="1" ht="26.1" customHeight="1">
      <c r="A345" s="3">
        <v>343</v>
      </c>
      <c r="B345" s="4" t="str">
        <f>"欧玉萍"</f>
        <v>欧玉萍</v>
      </c>
      <c r="C345" s="4" t="str">
        <f t="shared" si="60"/>
        <v xml:space="preserve">女        </v>
      </c>
      <c r="D345" s="4" t="str">
        <f t="shared" si="54"/>
        <v>汉族</v>
      </c>
      <c r="E345" s="5" t="str">
        <f>"桂林师范高等专科学校汉语"</f>
        <v>桂林师范高等专科学校汉语</v>
      </c>
      <c r="F345" s="5" t="str">
        <f>"专科无学位"</f>
        <v>专科无学位</v>
      </c>
      <c r="G345" s="6" t="str">
        <f t="shared" si="62"/>
        <v>是</v>
      </c>
      <c r="H345" s="6" t="str">
        <f t="shared" si="58"/>
        <v>小学</v>
      </c>
      <c r="I345" s="6" t="str">
        <f t="shared" si="59"/>
        <v>102:语文</v>
      </c>
      <c r="J345" s="4" t="s">
        <v>10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s="4" customFormat="1" ht="26.1" customHeight="1">
      <c r="A346" s="3">
        <v>344</v>
      </c>
      <c r="B346" s="4" t="str">
        <f>"蒋锦钰"</f>
        <v>蒋锦钰</v>
      </c>
      <c r="C346" s="4" t="str">
        <f t="shared" si="60"/>
        <v xml:space="preserve">女        </v>
      </c>
      <c r="D346" s="4" t="str">
        <f t="shared" si="54"/>
        <v>汉族</v>
      </c>
      <c r="E346" s="5" t="str">
        <f>"广西师范学院师园学院汉语言文学"</f>
        <v>广西师范学院师园学院汉语言文学</v>
      </c>
      <c r="F346" s="5" t="str">
        <f>"本科学士"</f>
        <v>本科学士</v>
      </c>
      <c r="G346" s="6" t="str">
        <f t="shared" si="62"/>
        <v>是</v>
      </c>
      <c r="H346" s="6" t="str">
        <f t="shared" si="58"/>
        <v>小学</v>
      </c>
      <c r="I346" s="6" t="str">
        <f t="shared" si="59"/>
        <v>102:语文</v>
      </c>
      <c r="J346" s="4" t="s">
        <v>10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s="4" customFormat="1" ht="26.1" customHeight="1">
      <c r="A347" s="3">
        <v>345</v>
      </c>
      <c r="B347" s="4" t="str">
        <f>"林微"</f>
        <v>林微</v>
      </c>
      <c r="C347" s="4" t="str">
        <f t="shared" si="60"/>
        <v xml:space="preserve">女        </v>
      </c>
      <c r="D347" s="4" t="str">
        <f t="shared" si="54"/>
        <v>汉族</v>
      </c>
      <c r="E347" s="5" t="str">
        <f>"钦州学院教育学小学教育文科方向"</f>
        <v>钦州学院教育学小学教育文科方向</v>
      </c>
      <c r="F347" s="5" t="str">
        <f>"本科学士"</f>
        <v>本科学士</v>
      </c>
      <c r="G347" s="6" t="str">
        <f t="shared" si="62"/>
        <v>是</v>
      </c>
      <c r="H347" s="6" t="str">
        <f t="shared" si="58"/>
        <v>小学</v>
      </c>
      <c r="I347" s="6" t="str">
        <f t="shared" si="59"/>
        <v>102:语文</v>
      </c>
      <c r="J347" s="4" t="s">
        <v>10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s="4" customFormat="1" ht="26.1" customHeight="1">
      <c r="A348" s="3">
        <v>346</v>
      </c>
      <c r="B348" s="4" t="str">
        <f>"梁里兰"</f>
        <v>梁里兰</v>
      </c>
      <c r="C348" s="4" t="str">
        <f t="shared" si="60"/>
        <v xml:space="preserve">女        </v>
      </c>
      <c r="D348" s="4" t="str">
        <f t="shared" si="54"/>
        <v>汉族</v>
      </c>
      <c r="E348" s="5" t="str">
        <f>"广西科技师范学院汉语"</f>
        <v>广西科技师范学院汉语</v>
      </c>
      <c r="F348" s="5" t="str">
        <f>"专科无学位"</f>
        <v>专科无学位</v>
      </c>
      <c r="G348" s="6" t="str">
        <f t="shared" si="62"/>
        <v>是</v>
      </c>
      <c r="H348" s="6" t="str">
        <f t="shared" si="58"/>
        <v>小学</v>
      </c>
      <c r="I348" s="6" t="str">
        <f t="shared" si="59"/>
        <v>102:语文</v>
      </c>
      <c r="J348" s="4" t="s">
        <v>10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s="4" customFormat="1" ht="26.1" customHeight="1">
      <c r="A349" s="3">
        <v>347</v>
      </c>
      <c r="B349" s="4" t="str">
        <f>"庞秋蓉"</f>
        <v>庞秋蓉</v>
      </c>
      <c r="C349" s="4" t="str">
        <f t="shared" si="60"/>
        <v xml:space="preserve">女        </v>
      </c>
      <c r="D349" s="4" t="str">
        <f t="shared" si="54"/>
        <v>汉族</v>
      </c>
      <c r="E349" s="5" t="str">
        <f>"广西幼儿师范高等专科学校语文教育"</f>
        <v>广西幼儿师范高等专科学校语文教育</v>
      </c>
      <c r="F349" s="5" t="str">
        <f>"专科学士"</f>
        <v>专科学士</v>
      </c>
      <c r="G349" s="6" t="str">
        <f t="shared" si="62"/>
        <v>是</v>
      </c>
      <c r="H349" s="6" t="str">
        <f t="shared" si="58"/>
        <v>小学</v>
      </c>
      <c r="I349" s="6" t="str">
        <f t="shared" si="59"/>
        <v>102:语文</v>
      </c>
      <c r="J349" s="4" t="s">
        <v>10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s="4" customFormat="1" ht="26.1" customHeight="1">
      <c r="A350" s="3">
        <v>348</v>
      </c>
      <c r="B350" s="4" t="str">
        <f>"杨群"</f>
        <v>杨群</v>
      </c>
      <c r="C350" s="4" t="str">
        <f t="shared" si="60"/>
        <v xml:space="preserve">女        </v>
      </c>
      <c r="D350" s="4" t="str">
        <f t="shared" si="54"/>
        <v>汉族</v>
      </c>
      <c r="E350" s="5" t="str">
        <f>"广西工业职业技术学院语文教育"</f>
        <v>广西工业职业技术学院语文教育</v>
      </c>
      <c r="F350" s="5" t="str">
        <f>"专科无学位"</f>
        <v>专科无学位</v>
      </c>
      <c r="G350" s="6" t="str">
        <f t="shared" si="62"/>
        <v>是</v>
      </c>
      <c r="H350" s="6" t="str">
        <f t="shared" si="58"/>
        <v>小学</v>
      </c>
      <c r="I350" s="6" t="str">
        <f t="shared" si="59"/>
        <v>102:语文</v>
      </c>
      <c r="J350" s="4" t="s">
        <v>10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s="4" customFormat="1" ht="26.1" customHeight="1">
      <c r="A351" s="3">
        <v>349</v>
      </c>
      <c r="B351" s="4" t="str">
        <f>"杨舒婷"</f>
        <v>杨舒婷</v>
      </c>
      <c r="C351" s="4" t="str">
        <f t="shared" si="60"/>
        <v xml:space="preserve">女        </v>
      </c>
      <c r="D351" s="4" t="str">
        <f t="shared" si="54"/>
        <v>汉族</v>
      </c>
      <c r="E351" s="5" t="str">
        <f>"广西师范学院师园学院汉语言文学"</f>
        <v>广西师范学院师园学院汉语言文学</v>
      </c>
      <c r="F351" s="5" t="str">
        <f>"本科学士"</f>
        <v>本科学士</v>
      </c>
      <c r="G351" s="6" t="str">
        <f t="shared" si="62"/>
        <v>是</v>
      </c>
      <c r="H351" s="6" t="str">
        <f t="shared" si="58"/>
        <v>小学</v>
      </c>
      <c r="I351" s="6" t="str">
        <f t="shared" si="59"/>
        <v>102:语文</v>
      </c>
      <c r="J351" s="4" t="s">
        <v>10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s="4" customFormat="1" ht="26.1" customHeight="1">
      <c r="A352" s="3">
        <v>350</v>
      </c>
      <c r="B352" s="4" t="str">
        <f>"陈树妮"</f>
        <v>陈树妮</v>
      </c>
      <c r="C352" s="4" t="str">
        <f t="shared" si="60"/>
        <v xml:space="preserve">女        </v>
      </c>
      <c r="D352" s="4" t="str">
        <f t="shared" si="54"/>
        <v>汉族</v>
      </c>
      <c r="E352" s="5" t="str">
        <f>"广西科技师范学院思想政治教育"</f>
        <v>广西科技师范学院思想政治教育</v>
      </c>
      <c r="F352" s="5" t="str">
        <f>"专科无学位"</f>
        <v>专科无学位</v>
      </c>
      <c r="G352" s="6" t="str">
        <f t="shared" si="62"/>
        <v>是</v>
      </c>
      <c r="H352" s="6" t="str">
        <f t="shared" si="58"/>
        <v>小学</v>
      </c>
      <c r="I352" s="6" t="str">
        <f t="shared" si="59"/>
        <v>102:语文</v>
      </c>
      <c r="J352" s="4" t="s">
        <v>10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s="4" customFormat="1" ht="26.1" customHeight="1">
      <c r="A353" s="3">
        <v>351</v>
      </c>
      <c r="B353" s="4" t="str">
        <f>"孔繁珊"</f>
        <v>孔繁珊</v>
      </c>
      <c r="C353" s="4" t="str">
        <f t="shared" si="60"/>
        <v xml:space="preserve">女        </v>
      </c>
      <c r="D353" s="4" t="str">
        <f t="shared" si="54"/>
        <v>汉族</v>
      </c>
      <c r="E353" s="5" t="str">
        <f>"广西师范学院公共事业管理"</f>
        <v>广西师范学院公共事业管理</v>
      </c>
      <c r="F353" s="5" t="str">
        <f>"本科学士"</f>
        <v>本科学士</v>
      </c>
      <c r="G353" s="6" t="str">
        <f t="shared" si="62"/>
        <v>是</v>
      </c>
      <c r="H353" s="6" t="str">
        <f t="shared" si="58"/>
        <v>小学</v>
      </c>
      <c r="I353" s="6" t="str">
        <f t="shared" si="59"/>
        <v>102:语文</v>
      </c>
      <c r="J353" s="4" t="s">
        <v>10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s="4" customFormat="1" ht="26.1" customHeight="1">
      <c r="A354" s="3">
        <v>352</v>
      </c>
      <c r="B354" s="4" t="str">
        <f>"宁雪伊"</f>
        <v>宁雪伊</v>
      </c>
      <c r="C354" s="4" t="str">
        <f t="shared" si="60"/>
        <v xml:space="preserve">女        </v>
      </c>
      <c r="D354" s="4" t="str">
        <f t="shared" si="54"/>
        <v>汉族</v>
      </c>
      <c r="E354" s="5" t="str">
        <f>"桂林师范高等专科学校语文教育"</f>
        <v>桂林师范高等专科学校语文教育</v>
      </c>
      <c r="F354" s="5" t="str">
        <f>"专科学士"</f>
        <v>专科学士</v>
      </c>
      <c r="G354" s="6" t="str">
        <f t="shared" si="62"/>
        <v>是</v>
      </c>
      <c r="H354" s="6" t="str">
        <f t="shared" si="58"/>
        <v>小学</v>
      </c>
      <c r="I354" s="6" t="str">
        <f t="shared" si="59"/>
        <v>102:语文</v>
      </c>
      <c r="J354" s="4" t="s">
        <v>10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s="4" customFormat="1" ht="26.1" customHeight="1">
      <c r="A355" s="3">
        <v>353</v>
      </c>
      <c r="B355" s="4" t="str">
        <f>"李昂"</f>
        <v>李昂</v>
      </c>
      <c r="C355" s="4" t="str">
        <f t="shared" si="60"/>
        <v xml:space="preserve">女        </v>
      </c>
      <c r="D355" s="4" t="str">
        <f t="shared" si="54"/>
        <v>汉族</v>
      </c>
      <c r="E355" s="5" t="str">
        <f>"广西师范学院汉语言文学"</f>
        <v>广西师范学院汉语言文学</v>
      </c>
      <c r="F355" s="5" t="str">
        <f>"本科学士"</f>
        <v>本科学士</v>
      </c>
      <c r="G355" s="6" t="str">
        <f>"不是"</f>
        <v>不是</v>
      </c>
      <c r="H355" s="6" t="str">
        <f t="shared" si="58"/>
        <v>小学</v>
      </c>
      <c r="I355" s="6" t="str">
        <f t="shared" si="59"/>
        <v>102:语文</v>
      </c>
      <c r="J355" s="4" t="s">
        <v>10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s="4" customFormat="1" ht="26.1" customHeight="1">
      <c r="A356" s="3">
        <v>354</v>
      </c>
      <c r="B356" s="4" t="str">
        <f>"林如"</f>
        <v>林如</v>
      </c>
      <c r="C356" s="4" t="str">
        <f t="shared" si="60"/>
        <v xml:space="preserve">女        </v>
      </c>
      <c r="D356" s="4" t="str">
        <f t="shared" si="54"/>
        <v>汉族</v>
      </c>
      <c r="E356" s="5" t="str">
        <f>"广西师范学院汉语言文学"</f>
        <v>广西师范学院汉语言文学</v>
      </c>
      <c r="F356" s="5" t="str">
        <f>"本科学士"</f>
        <v>本科学士</v>
      </c>
      <c r="G356" s="6" t="str">
        <f>"是"</f>
        <v>是</v>
      </c>
      <c r="H356" s="6" t="str">
        <f t="shared" si="58"/>
        <v>小学</v>
      </c>
      <c r="I356" s="6" t="str">
        <f t="shared" si="59"/>
        <v>102:语文</v>
      </c>
      <c r="J356" s="4" t="s">
        <v>10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s="4" customFormat="1" ht="26.1" customHeight="1">
      <c r="A357" s="3">
        <v>355</v>
      </c>
      <c r="B357" s="4" t="str">
        <f>"陈育芝"</f>
        <v>陈育芝</v>
      </c>
      <c r="C357" s="4" t="str">
        <f t="shared" si="60"/>
        <v xml:space="preserve">女        </v>
      </c>
      <c r="D357" s="4" t="str">
        <f t="shared" si="54"/>
        <v>汉族</v>
      </c>
      <c r="E357" s="5" t="str">
        <f>"南宁地区教育学院语文教育"</f>
        <v>南宁地区教育学院语文教育</v>
      </c>
      <c r="F357" s="5" t="str">
        <f>"专科无学位"</f>
        <v>专科无学位</v>
      </c>
      <c r="G357" s="6" t="str">
        <f>"是"</f>
        <v>是</v>
      </c>
      <c r="H357" s="6" t="str">
        <f t="shared" si="58"/>
        <v>小学</v>
      </c>
      <c r="I357" s="6" t="str">
        <f t="shared" si="59"/>
        <v>102:语文</v>
      </c>
      <c r="J357" s="4" t="s">
        <v>10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s="4" customFormat="1" ht="26.1" customHeight="1">
      <c r="A358" s="3">
        <v>356</v>
      </c>
      <c r="B358" s="4" t="str">
        <f>"李丽君"</f>
        <v>李丽君</v>
      </c>
      <c r="C358" s="4" t="str">
        <f t="shared" si="60"/>
        <v xml:space="preserve">女        </v>
      </c>
      <c r="D358" s="4" t="str">
        <f t="shared" si="54"/>
        <v>汉族</v>
      </c>
      <c r="E358" s="5" t="str">
        <f>"广西民族大学相思湖学院汉语言文学"</f>
        <v>广西民族大学相思湖学院汉语言文学</v>
      </c>
      <c r="F358" s="5" t="str">
        <f>"本科学士"</f>
        <v>本科学士</v>
      </c>
      <c r="G358" s="6" t="str">
        <f>"不是"</f>
        <v>不是</v>
      </c>
      <c r="H358" s="6" t="str">
        <f t="shared" si="58"/>
        <v>小学</v>
      </c>
      <c r="I358" s="6" t="str">
        <f t="shared" si="59"/>
        <v>102:语文</v>
      </c>
      <c r="J358" s="4" t="s">
        <v>10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s="4" customFormat="1" ht="26.1" customHeight="1">
      <c r="A359" s="3">
        <v>357</v>
      </c>
      <c r="B359" s="4" t="str">
        <f>"赖贤"</f>
        <v>赖贤</v>
      </c>
      <c r="C359" s="4" t="str">
        <f t="shared" si="60"/>
        <v xml:space="preserve">女        </v>
      </c>
      <c r="D359" s="4" t="str">
        <f t="shared" si="54"/>
        <v>汉族</v>
      </c>
      <c r="E359" s="5" t="str">
        <f>"钦州学院教育学小学教育文科"</f>
        <v>钦州学院教育学小学教育文科</v>
      </c>
      <c r="F359" s="5" t="str">
        <f>"本科学士"</f>
        <v>本科学士</v>
      </c>
      <c r="G359" s="6" t="str">
        <f>"是"</f>
        <v>是</v>
      </c>
      <c r="H359" s="6" t="str">
        <f t="shared" si="58"/>
        <v>小学</v>
      </c>
      <c r="I359" s="6" t="str">
        <f t="shared" si="59"/>
        <v>102:语文</v>
      </c>
      <c r="J359" s="4" t="s">
        <v>10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s="4" customFormat="1" ht="26.1" customHeight="1">
      <c r="A360" s="3">
        <v>358</v>
      </c>
      <c r="B360" s="4" t="str">
        <f>"姚澜"</f>
        <v>姚澜</v>
      </c>
      <c r="C360" s="4" t="str">
        <f t="shared" si="60"/>
        <v xml:space="preserve">女        </v>
      </c>
      <c r="D360" s="4" t="str">
        <f t="shared" si="54"/>
        <v>汉族</v>
      </c>
      <c r="E360" s="5" t="str">
        <f>"贺州学院小学教育"</f>
        <v>贺州学院小学教育</v>
      </c>
      <c r="F360" s="5" t="str">
        <f>"本科学士"</f>
        <v>本科学士</v>
      </c>
      <c r="G360" s="6" t="str">
        <f>"是"</f>
        <v>是</v>
      </c>
      <c r="H360" s="6" t="str">
        <f t="shared" si="58"/>
        <v>小学</v>
      </c>
      <c r="I360" s="6" t="str">
        <f t="shared" si="59"/>
        <v>102:语文</v>
      </c>
      <c r="J360" s="4" t="s">
        <v>10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s="4" customFormat="1" ht="26.1" customHeight="1">
      <c r="A361" s="3">
        <v>359</v>
      </c>
      <c r="B361" s="4" t="str">
        <f>"吴磊"</f>
        <v>吴磊</v>
      </c>
      <c r="C361" s="4" t="str">
        <f t="shared" si="60"/>
        <v xml:space="preserve">女        </v>
      </c>
      <c r="D361" s="4" t="str">
        <f t="shared" si="54"/>
        <v>汉族</v>
      </c>
      <c r="E361" s="5" t="str">
        <f>"广西大学行健文理学院汉语言文学"</f>
        <v>广西大学行健文理学院汉语言文学</v>
      </c>
      <c r="F361" s="5" t="str">
        <f>"本科学士"</f>
        <v>本科学士</v>
      </c>
      <c r="G361" s="6" t="str">
        <f>"不是"</f>
        <v>不是</v>
      </c>
      <c r="H361" s="6" t="str">
        <f t="shared" si="58"/>
        <v>小学</v>
      </c>
      <c r="I361" s="6" t="str">
        <f t="shared" si="59"/>
        <v>102:语文</v>
      </c>
      <c r="J361" s="4" t="s">
        <v>10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s="4" customFormat="1" ht="26.1" customHeight="1">
      <c r="A362" s="3">
        <v>360</v>
      </c>
      <c r="B362" s="4" t="str">
        <f>"吕莹"</f>
        <v>吕莹</v>
      </c>
      <c r="C362" s="4" t="str">
        <f t="shared" si="60"/>
        <v xml:space="preserve">女        </v>
      </c>
      <c r="D362" s="4" t="str">
        <f t="shared" si="54"/>
        <v>汉族</v>
      </c>
      <c r="E362" s="5" t="str">
        <f>"桂林理工大学会计学"</f>
        <v>桂林理工大学会计学</v>
      </c>
      <c r="F362" s="5" t="str">
        <f>"本科学士"</f>
        <v>本科学士</v>
      </c>
      <c r="G362" s="6" t="str">
        <f>"不是"</f>
        <v>不是</v>
      </c>
      <c r="H362" s="6" t="str">
        <f t="shared" si="58"/>
        <v>小学</v>
      </c>
      <c r="I362" s="6" t="str">
        <f t="shared" si="59"/>
        <v>102:语文</v>
      </c>
      <c r="J362" s="4" t="s">
        <v>10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s="4" customFormat="1" ht="26.1" customHeight="1">
      <c r="A363" s="3">
        <v>361</v>
      </c>
      <c r="B363" s="4" t="str">
        <f>"欧婷婷"</f>
        <v>欧婷婷</v>
      </c>
      <c r="C363" s="4" t="str">
        <f t="shared" si="60"/>
        <v xml:space="preserve">女        </v>
      </c>
      <c r="D363" s="4" t="str">
        <f t="shared" si="54"/>
        <v>汉族</v>
      </c>
      <c r="E363" s="5" t="str">
        <f>"广西科技师范学院汉语"</f>
        <v>广西科技师范学院汉语</v>
      </c>
      <c r="F363" s="5" t="str">
        <f>"专科无学位"</f>
        <v>专科无学位</v>
      </c>
      <c r="G363" s="6" t="str">
        <f t="shared" ref="G363:G372" si="63">"是"</f>
        <v>是</v>
      </c>
      <c r="H363" s="6" t="str">
        <f t="shared" si="58"/>
        <v>小学</v>
      </c>
      <c r="I363" s="6" t="str">
        <f t="shared" si="59"/>
        <v>102:语文</v>
      </c>
      <c r="J363" s="4" t="s">
        <v>10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s="4" customFormat="1" ht="26.1" customHeight="1">
      <c r="A364" s="3">
        <v>362</v>
      </c>
      <c r="B364" s="4" t="str">
        <f>"谭扬琳"</f>
        <v>谭扬琳</v>
      </c>
      <c r="C364" s="4" t="str">
        <f t="shared" si="60"/>
        <v xml:space="preserve">女        </v>
      </c>
      <c r="D364" s="4" t="str">
        <f t="shared" si="54"/>
        <v>汉族</v>
      </c>
      <c r="E364" s="5" t="str">
        <f>"柳州师范高等专科学校汉语"</f>
        <v>柳州师范高等专科学校汉语</v>
      </c>
      <c r="F364" s="5" t="str">
        <f>"专科无学位"</f>
        <v>专科无学位</v>
      </c>
      <c r="G364" s="6" t="str">
        <f t="shared" si="63"/>
        <v>是</v>
      </c>
      <c r="H364" s="6" t="str">
        <f t="shared" si="58"/>
        <v>小学</v>
      </c>
      <c r="I364" s="6" t="str">
        <f t="shared" si="59"/>
        <v>102:语文</v>
      </c>
      <c r="J364" s="4" t="s">
        <v>10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s="4" customFormat="1" ht="26.1" customHeight="1">
      <c r="A365" s="3">
        <v>363</v>
      </c>
      <c r="B365" s="4" t="str">
        <f>"方云"</f>
        <v>方云</v>
      </c>
      <c r="C365" s="4" t="str">
        <f t="shared" si="60"/>
        <v xml:space="preserve">女        </v>
      </c>
      <c r="D365" s="4" t="str">
        <f t="shared" si="54"/>
        <v>汉族</v>
      </c>
      <c r="E365" s="5" t="str">
        <f>"柳州师范高等专科学校数学教育"</f>
        <v>柳州师范高等专科学校数学教育</v>
      </c>
      <c r="F365" s="5" t="str">
        <f>"专科无学位"</f>
        <v>专科无学位</v>
      </c>
      <c r="G365" s="6" t="str">
        <f t="shared" si="63"/>
        <v>是</v>
      </c>
      <c r="H365" s="6" t="str">
        <f t="shared" si="58"/>
        <v>小学</v>
      </c>
      <c r="I365" s="6" t="str">
        <f t="shared" ref="I365:I428" si="64">"103:数学"</f>
        <v>103:数学</v>
      </c>
      <c r="J365" s="4" t="s">
        <v>11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s="4" customFormat="1" ht="26.1" customHeight="1">
      <c r="A366" s="3">
        <v>364</v>
      </c>
      <c r="B366" s="4" t="str">
        <f>"陈亭杏"</f>
        <v>陈亭杏</v>
      </c>
      <c r="C366" s="4" t="str">
        <f t="shared" si="60"/>
        <v xml:space="preserve">女        </v>
      </c>
      <c r="D366" s="4" t="str">
        <f t="shared" si="54"/>
        <v>汉族</v>
      </c>
      <c r="E366" s="5" t="str">
        <f>"玉林师范学院学前教育"</f>
        <v>玉林师范学院学前教育</v>
      </c>
      <c r="F366" s="5" t="str">
        <f>"本科学士"</f>
        <v>本科学士</v>
      </c>
      <c r="G366" s="6" t="str">
        <f t="shared" si="63"/>
        <v>是</v>
      </c>
      <c r="H366" s="6" t="str">
        <f t="shared" si="58"/>
        <v>小学</v>
      </c>
      <c r="I366" s="6" t="str">
        <f t="shared" si="64"/>
        <v>103:数学</v>
      </c>
      <c r="J366" s="4" t="s">
        <v>11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s="4" customFormat="1" ht="26.1" customHeight="1">
      <c r="A367" s="3">
        <v>365</v>
      </c>
      <c r="B367" s="4" t="str">
        <f>"王欣"</f>
        <v>王欣</v>
      </c>
      <c r="C367" s="4" t="str">
        <f t="shared" si="60"/>
        <v xml:space="preserve">女        </v>
      </c>
      <c r="D367" s="4" t="str">
        <f>"壮族"</f>
        <v>壮族</v>
      </c>
      <c r="E367" s="5" t="str">
        <f>"广西幼儿师范高等专科学校英语教育学前教育方向"</f>
        <v>广西幼儿师范高等专科学校英语教育学前教育方向</v>
      </c>
      <c r="F367" s="5" t="str">
        <f>"专科学士"</f>
        <v>专科学士</v>
      </c>
      <c r="G367" s="6" t="str">
        <f t="shared" si="63"/>
        <v>是</v>
      </c>
      <c r="H367" s="6" t="str">
        <f t="shared" si="58"/>
        <v>小学</v>
      </c>
      <c r="I367" s="6" t="str">
        <f t="shared" si="64"/>
        <v>103:数学</v>
      </c>
      <c r="J367" s="4" t="s">
        <v>11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s="4" customFormat="1" ht="26.1" customHeight="1">
      <c r="A368" s="3">
        <v>366</v>
      </c>
      <c r="B368" s="4" t="str">
        <f>"阙小雲"</f>
        <v>阙小雲</v>
      </c>
      <c r="C368" s="4" t="str">
        <f t="shared" si="60"/>
        <v xml:space="preserve">女        </v>
      </c>
      <c r="D368" s="4" t="str">
        <f>"汉族"</f>
        <v>汉族</v>
      </c>
      <c r="E368" s="5" t="str">
        <f>"广西幼儿师范高等专科学校综合理科教育"</f>
        <v>广西幼儿师范高等专科学校综合理科教育</v>
      </c>
      <c r="F368" s="5" t="str">
        <f>"专科无学位"</f>
        <v>专科无学位</v>
      </c>
      <c r="G368" s="6" t="str">
        <f t="shared" si="63"/>
        <v>是</v>
      </c>
      <c r="H368" s="6" t="str">
        <f t="shared" si="58"/>
        <v>小学</v>
      </c>
      <c r="I368" s="6" t="str">
        <f t="shared" si="64"/>
        <v>103:数学</v>
      </c>
      <c r="J368" s="4" t="s">
        <v>11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s="4" customFormat="1" ht="26.1" customHeight="1">
      <c r="A369" s="3">
        <v>367</v>
      </c>
      <c r="B369" s="4" t="str">
        <f>"何永胜"</f>
        <v>何永胜</v>
      </c>
      <c r="C369" s="4" t="str">
        <f>"男        "</f>
        <v xml:space="preserve">男        </v>
      </c>
      <c r="D369" s="4" t="str">
        <f>"壮族"</f>
        <v>壮族</v>
      </c>
      <c r="E369" s="5" t="str">
        <f>"昭通学院数学教育"</f>
        <v>昭通学院数学教育</v>
      </c>
      <c r="F369" s="5" t="str">
        <f>"专科无学位"</f>
        <v>专科无学位</v>
      </c>
      <c r="G369" s="6" t="str">
        <f t="shared" si="63"/>
        <v>是</v>
      </c>
      <c r="H369" s="6" t="str">
        <f t="shared" si="58"/>
        <v>小学</v>
      </c>
      <c r="I369" s="6" t="str">
        <f t="shared" si="64"/>
        <v>103:数学</v>
      </c>
      <c r="J369" s="4" t="s">
        <v>11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s="4" customFormat="1" ht="26.1" customHeight="1">
      <c r="A370" s="3">
        <v>368</v>
      </c>
      <c r="B370" s="4" t="str">
        <f>"庞英华"</f>
        <v>庞英华</v>
      </c>
      <c r="C370" s="4" t="str">
        <f t="shared" ref="C370:C404" si="65">"女        "</f>
        <v xml:space="preserve">女        </v>
      </c>
      <c r="D370" s="4" t="str">
        <f t="shared" ref="D370:D380" si="66">"汉族"</f>
        <v>汉族</v>
      </c>
      <c r="E370" s="5" t="str">
        <f>"广西教育学院学前教育"</f>
        <v>广西教育学院学前教育</v>
      </c>
      <c r="F370" s="5" t="str">
        <f>"专科无学位"</f>
        <v>专科无学位</v>
      </c>
      <c r="G370" s="6" t="str">
        <f t="shared" si="63"/>
        <v>是</v>
      </c>
      <c r="H370" s="6" t="str">
        <f t="shared" si="58"/>
        <v>小学</v>
      </c>
      <c r="I370" s="6" t="str">
        <f t="shared" si="64"/>
        <v>103:数学</v>
      </c>
      <c r="J370" s="4" t="s">
        <v>11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s="4" customFormat="1" ht="26.1" customHeight="1">
      <c r="A371" s="3">
        <v>369</v>
      </c>
      <c r="B371" s="4" t="str">
        <f>"马守梅"</f>
        <v>马守梅</v>
      </c>
      <c r="C371" s="4" t="str">
        <f t="shared" si="65"/>
        <v xml:space="preserve">女        </v>
      </c>
      <c r="D371" s="4" t="str">
        <f t="shared" si="66"/>
        <v>汉族</v>
      </c>
      <c r="E371" s="5" t="str">
        <f>"广西教育学院数学专业"</f>
        <v>广西教育学院数学专业</v>
      </c>
      <c r="F371" s="5" t="str">
        <f>"专科无学位"</f>
        <v>专科无学位</v>
      </c>
      <c r="G371" s="6" t="str">
        <f t="shared" si="63"/>
        <v>是</v>
      </c>
      <c r="H371" s="6" t="str">
        <f t="shared" si="58"/>
        <v>小学</v>
      </c>
      <c r="I371" s="6" t="str">
        <f t="shared" si="64"/>
        <v>103:数学</v>
      </c>
      <c r="J371" s="4" t="s">
        <v>11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s="4" customFormat="1" ht="26.1" customHeight="1">
      <c r="A372" s="3">
        <v>370</v>
      </c>
      <c r="B372" s="4" t="str">
        <f>"禤婷婷"</f>
        <v>禤婷婷</v>
      </c>
      <c r="C372" s="4" t="str">
        <f t="shared" si="65"/>
        <v xml:space="preserve">女        </v>
      </c>
      <c r="D372" s="4" t="str">
        <f t="shared" si="66"/>
        <v>汉族</v>
      </c>
      <c r="E372" s="5" t="str">
        <f>"南宁地区教育学院数学教育"</f>
        <v>南宁地区教育学院数学教育</v>
      </c>
      <c r="F372" s="5" t="str">
        <f>"专科无学位"</f>
        <v>专科无学位</v>
      </c>
      <c r="G372" s="6" t="str">
        <f t="shared" si="63"/>
        <v>是</v>
      </c>
      <c r="H372" s="6" t="str">
        <f t="shared" si="58"/>
        <v>小学</v>
      </c>
      <c r="I372" s="6" t="str">
        <f t="shared" si="64"/>
        <v>103:数学</v>
      </c>
      <c r="J372" s="4" t="s">
        <v>11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s="4" customFormat="1" ht="26.1" customHeight="1">
      <c r="A373" s="3">
        <v>371</v>
      </c>
      <c r="B373" s="4" t="str">
        <f>"杨东梅"</f>
        <v>杨东梅</v>
      </c>
      <c r="C373" s="4" t="str">
        <f t="shared" si="65"/>
        <v xml:space="preserve">女        </v>
      </c>
      <c r="D373" s="4" t="str">
        <f t="shared" si="66"/>
        <v>汉族</v>
      </c>
      <c r="E373" s="5" t="str">
        <f>"广西民族师范学院制药工程"</f>
        <v>广西民族师范学院制药工程</v>
      </c>
      <c r="F373" s="5" t="str">
        <f>"本科学士"</f>
        <v>本科学士</v>
      </c>
      <c r="G373" s="6" t="str">
        <f>"不是"</f>
        <v>不是</v>
      </c>
      <c r="H373" s="6" t="str">
        <f t="shared" si="58"/>
        <v>小学</v>
      </c>
      <c r="I373" s="6" t="str">
        <f t="shared" si="64"/>
        <v>103:数学</v>
      </c>
      <c r="J373" s="4" t="s">
        <v>11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s="4" customFormat="1" ht="26.1" customHeight="1">
      <c r="A374" s="3">
        <v>372</v>
      </c>
      <c r="B374" s="4" t="str">
        <f>"郑善文"</f>
        <v>郑善文</v>
      </c>
      <c r="C374" s="4" t="str">
        <f t="shared" si="65"/>
        <v xml:space="preserve">女        </v>
      </c>
      <c r="D374" s="4" t="str">
        <f t="shared" si="66"/>
        <v>汉族</v>
      </c>
      <c r="E374" s="5" t="str">
        <f>"广西桂林师范高等专科学校初等教育"</f>
        <v>广西桂林师范高等专科学校初等教育</v>
      </c>
      <c r="F374" s="5" t="str">
        <f>"专科无学位"</f>
        <v>专科无学位</v>
      </c>
      <c r="G374" s="6" t="str">
        <f>"是"</f>
        <v>是</v>
      </c>
      <c r="H374" s="6" t="str">
        <f t="shared" si="58"/>
        <v>小学</v>
      </c>
      <c r="I374" s="6" t="str">
        <f t="shared" si="64"/>
        <v>103:数学</v>
      </c>
      <c r="J374" s="4" t="s">
        <v>11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s="4" customFormat="1" ht="26.1" customHeight="1">
      <c r="A375" s="3">
        <v>373</v>
      </c>
      <c r="B375" s="4" t="str">
        <f>"吴春婷"</f>
        <v>吴春婷</v>
      </c>
      <c r="C375" s="4" t="str">
        <f t="shared" si="65"/>
        <v xml:space="preserve">女        </v>
      </c>
      <c r="D375" s="4" t="str">
        <f t="shared" si="66"/>
        <v>汉族</v>
      </c>
      <c r="E375" s="5" t="str">
        <f>"玉林师范学院通信工程"</f>
        <v>玉林师范学院通信工程</v>
      </c>
      <c r="F375" s="5" t="str">
        <f>"本科学士"</f>
        <v>本科学士</v>
      </c>
      <c r="G375" s="6" t="str">
        <f>"不是"</f>
        <v>不是</v>
      </c>
      <c r="H375" s="6" t="str">
        <f t="shared" si="58"/>
        <v>小学</v>
      </c>
      <c r="I375" s="6" t="str">
        <f t="shared" si="64"/>
        <v>103:数学</v>
      </c>
      <c r="J375" s="4" t="s">
        <v>11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s="4" customFormat="1" ht="26.1" customHeight="1">
      <c r="A376" s="3">
        <v>374</v>
      </c>
      <c r="B376" s="4" t="str">
        <f>"陈秋伶"</f>
        <v>陈秋伶</v>
      </c>
      <c r="C376" s="4" t="str">
        <f t="shared" si="65"/>
        <v xml:space="preserve">女        </v>
      </c>
      <c r="D376" s="4" t="str">
        <f t="shared" si="66"/>
        <v>汉族</v>
      </c>
      <c r="E376" s="5" t="str">
        <f>"梧州学院财务管理"</f>
        <v>梧州学院财务管理</v>
      </c>
      <c r="F376" s="5" t="str">
        <f>"本科学士"</f>
        <v>本科学士</v>
      </c>
      <c r="G376" s="6" t="str">
        <f>"不是"</f>
        <v>不是</v>
      </c>
      <c r="H376" s="6" t="str">
        <f t="shared" si="58"/>
        <v>小学</v>
      </c>
      <c r="I376" s="6" t="str">
        <f t="shared" si="64"/>
        <v>103:数学</v>
      </c>
      <c r="J376" s="4" t="s">
        <v>11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s="4" customFormat="1" ht="26.1" customHeight="1">
      <c r="A377" s="3">
        <v>375</v>
      </c>
      <c r="B377" s="4" t="str">
        <f>"卢宗莉"</f>
        <v>卢宗莉</v>
      </c>
      <c r="C377" s="4" t="str">
        <f t="shared" si="65"/>
        <v xml:space="preserve">女        </v>
      </c>
      <c r="D377" s="4" t="str">
        <f t="shared" si="66"/>
        <v>汉族</v>
      </c>
      <c r="E377" s="5" t="str">
        <f>"贺州学院数学与应用数学"</f>
        <v>贺州学院数学与应用数学</v>
      </c>
      <c r="F377" s="5" t="str">
        <f>"本科学士"</f>
        <v>本科学士</v>
      </c>
      <c r="G377" s="6" t="str">
        <f>"是"</f>
        <v>是</v>
      </c>
      <c r="H377" s="6" t="str">
        <f t="shared" si="58"/>
        <v>小学</v>
      </c>
      <c r="I377" s="6" t="str">
        <f t="shared" si="64"/>
        <v>103:数学</v>
      </c>
      <c r="J377" s="4" t="s">
        <v>11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s="4" customFormat="1" ht="26.1" customHeight="1">
      <c r="A378" s="3">
        <v>376</v>
      </c>
      <c r="B378" s="4" t="str">
        <f>"吴红霖"</f>
        <v>吴红霖</v>
      </c>
      <c r="C378" s="4" t="str">
        <f t="shared" si="65"/>
        <v xml:space="preserve">女        </v>
      </c>
      <c r="D378" s="4" t="str">
        <f t="shared" si="66"/>
        <v>汉族</v>
      </c>
      <c r="E378" s="5" t="str">
        <f>"桂林师范高等专科学校初等教育"</f>
        <v>桂林师范高等专科学校初等教育</v>
      </c>
      <c r="F378" s="5" t="str">
        <f>"专科无学位"</f>
        <v>专科无学位</v>
      </c>
      <c r="G378" s="6" t="str">
        <f>"是"</f>
        <v>是</v>
      </c>
      <c r="H378" s="6" t="str">
        <f t="shared" si="58"/>
        <v>小学</v>
      </c>
      <c r="I378" s="6" t="str">
        <f t="shared" si="64"/>
        <v>103:数学</v>
      </c>
      <c r="J378" s="4" t="s">
        <v>11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s="4" customFormat="1" ht="26.1" customHeight="1">
      <c r="A379" s="3">
        <v>377</v>
      </c>
      <c r="B379" s="4" t="str">
        <f>"李晓婷"</f>
        <v>李晓婷</v>
      </c>
      <c r="C379" s="4" t="str">
        <f t="shared" si="65"/>
        <v xml:space="preserve">女        </v>
      </c>
      <c r="D379" s="4" t="str">
        <f t="shared" si="66"/>
        <v>汉族</v>
      </c>
      <c r="E379" s="5" t="str">
        <f>"桂林师范高等专科学校数学教育"</f>
        <v>桂林师范高等专科学校数学教育</v>
      </c>
      <c r="F379" s="5" t="str">
        <f>"专科无学位"</f>
        <v>专科无学位</v>
      </c>
      <c r="G379" s="6" t="str">
        <f>"是"</f>
        <v>是</v>
      </c>
      <c r="H379" s="6" t="str">
        <f t="shared" si="58"/>
        <v>小学</v>
      </c>
      <c r="I379" s="6" t="str">
        <f t="shared" si="64"/>
        <v>103:数学</v>
      </c>
      <c r="J379" s="4" t="s">
        <v>11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s="4" customFormat="1" ht="26.1" customHeight="1">
      <c r="A380" s="3">
        <v>378</v>
      </c>
      <c r="B380" s="4" t="str">
        <f>"陈水秀"</f>
        <v>陈水秀</v>
      </c>
      <c r="C380" s="4" t="str">
        <f t="shared" si="65"/>
        <v xml:space="preserve">女        </v>
      </c>
      <c r="D380" s="4" t="str">
        <f t="shared" si="66"/>
        <v>汉族</v>
      </c>
      <c r="E380" s="5" t="str">
        <f>"玉林师范学院生物技术"</f>
        <v>玉林师范学院生物技术</v>
      </c>
      <c r="F380" s="5" t="str">
        <f t="shared" ref="F380:F387" si="67">"本科学士"</f>
        <v>本科学士</v>
      </c>
      <c r="G380" s="6" t="str">
        <f>"不是"</f>
        <v>不是</v>
      </c>
      <c r="H380" s="6" t="str">
        <f t="shared" si="58"/>
        <v>小学</v>
      </c>
      <c r="I380" s="6" t="str">
        <f t="shared" si="64"/>
        <v>103:数学</v>
      </c>
      <c r="J380" s="4" t="s">
        <v>11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s="4" customFormat="1" ht="26.1" customHeight="1">
      <c r="A381" s="3">
        <v>379</v>
      </c>
      <c r="B381" s="4" t="str">
        <f>"韦冬云"</f>
        <v>韦冬云</v>
      </c>
      <c r="C381" s="4" t="str">
        <f t="shared" si="65"/>
        <v xml:space="preserve">女        </v>
      </c>
      <c r="D381" s="4" t="str">
        <f>"壮族"</f>
        <v>壮族</v>
      </c>
      <c r="E381" s="5" t="str">
        <f>"广西师范大学计算机科学与技术"</f>
        <v>广西师范大学计算机科学与技术</v>
      </c>
      <c r="F381" s="5" t="str">
        <f t="shared" si="67"/>
        <v>本科学士</v>
      </c>
      <c r="G381" s="6" t="str">
        <f>"不是"</f>
        <v>不是</v>
      </c>
      <c r="H381" s="6" t="str">
        <f t="shared" si="58"/>
        <v>小学</v>
      </c>
      <c r="I381" s="6" t="str">
        <f t="shared" si="64"/>
        <v>103:数学</v>
      </c>
      <c r="J381" s="4" t="s">
        <v>11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s="4" customFormat="1" ht="26.1" customHeight="1">
      <c r="A382" s="3">
        <v>380</v>
      </c>
      <c r="B382" s="4" t="str">
        <f>"黄绢嵋"</f>
        <v>黄绢嵋</v>
      </c>
      <c r="C382" s="4" t="str">
        <f t="shared" si="65"/>
        <v xml:space="preserve">女        </v>
      </c>
      <c r="D382" s="4" t="str">
        <f t="shared" ref="D382:D402" si="68">"汉族"</f>
        <v>汉族</v>
      </c>
      <c r="E382" s="5" t="str">
        <f>"贺州学院公共事业管理文化方向"</f>
        <v>贺州学院公共事业管理文化方向</v>
      </c>
      <c r="F382" s="5" t="str">
        <f t="shared" si="67"/>
        <v>本科学士</v>
      </c>
      <c r="G382" s="6" t="str">
        <f>"不是"</f>
        <v>不是</v>
      </c>
      <c r="H382" s="6" t="str">
        <f t="shared" si="58"/>
        <v>小学</v>
      </c>
      <c r="I382" s="6" t="str">
        <f t="shared" si="64"/>
        <v>103:数学</v>
      </c>
      <c r="J382" s="4" t="s">
        <v>11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s="4" customFormat="1" ht="26.1" customHeight="1">
      <c r="A383" s="3">
        <v>381</v>
      </c>
      <c r="B383" s="4" t="str">
        <f>"钟洁梅"</f>
        <v>钟洁梅</v>
      </c>
      <c r="C383" s="4" t="str">
        <f t="shared" si="65"/>
        <v xml:space="preserve">女        </v>
      </c>
      <c r="D383" s="4" t="str">
        <f t="shared" si="68"/>
        <v>汉族</v>
      </c>
      <c r="E383" s="5" t="str">
        <f>"梧州学院行政管理"</f>
        <v>梧州学院行政管理</v>
      </c>
      <c r="F383" s="5" t="str">
        <f t="shared" si="67"/>
        <v>本科学士</v>
      </c>
      <c r="G383" s="6" t="str">
        <f>"不是"</f>
        <v>不是</v>
      </c>
      <c r="H383" s="6" t="str">
        <f t="shared" si="58"/>
        <v>小学</v>
      </c>
      <c r="I383" s="6" t="str">
        <f t="shared" si="64"/>
        <v>103:数学</v>
      </c>
      <c r="J383" s="4" t="s">
        <v>11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s="4" customFormat="1" ht="26.1" customHeight="1">
      <c r="A384" s="3">
        <v>382</v>
      </c>
      <c r="B384" s="4" t="str">
        <f>"庞雨欣"</f>
        <v>庞雨欣</v>
      </c>
      <c r="C384" s="4" t="str">
        <f t="shared" si="65"/>
        <v xml:space="preserve">女        </v>
      </c>
      <c r="D384" s="4" t="str">
        <f t="shared" si="68"/>
        <v>汉族</v>
      </c>
      <c r="E384" s="5" t="str">
        <f>"广西民族大学金融数学"</f>
        <v>广西民族大学金融数学</v>
      </c>
      <c r="F384" s="5" t="str">
        <f t="shared" si="67"/>
        <v>本科学士</v>
      </c>
      <c r="G384" s="6" t="str">
        <f>"不是"</f>
        <v>不是</v>
      </c>
      <c r="H384" s="6" t="str">
        <f t="shared" si="58"/>
        <v>小学</v>
      </c>
      <c r="I384" s="6" t="str">
        <f t="shared" si="64"/>
        <v>103:数学</v>
      </c>
      <c r="J384" s="4" t="s">
        <v>11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s="4" customFormat="1" ht="26.1" customHeight="1">
      <c r="A385" s="3">
        <v>383</v>
      </c>
      <c r="B385" s="4" t="str">
        <f>"封辰蓉"</f>
        <v>封辰蓉</v>
      </c>
      <c r="C385" s="4" t="str">
        <f t="shared" si="65"/>
        <v xml:space="preserve">女        </v>
      </c>
      <c r="D385" s="4" t="str">
        <f t="shared" si="68"/>
        <v>汉族</v>
      </c>
      <c r="E385" s="5" t="str">
        <f>"玉林师范学院数学与应用数学"</f>
        <v>玉林师范学院数学与应用数学</v>
      </c>
      <c r="F385" s="5" t="str">
        <f t="shared" si="67"/>
        <v>本科学士</v>
      </c>
      <c r="G385" s="6" t="str">
        <f t="shared" ref="G385:G394" si="69">"是"</f>
        <v>是</v>
      </c>
      <c r="H385" s="6" t="str">
        <f t="shared" si="58"/>
        <v>小学</v>
      </c>
      <c r="I385" s="6" t="str">
        <f t="shared" si="64"/>
        <v>103:数学</v>
      </c>
      <c r="J385" s="4" t="s">
        <v>11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s="4" customFormat="1" ht="26.1" customHeight="1">
      <c r="A386" s="3">
        <v>384</v>
      </c>
      <c r="B386" s="4" t="str">
        <f>"唐芳兰"</f>
        <v>唐芳兰</v>
      </c>
      <c r="C386" s="4" t="str">
        <f t="shared" si="65"/>
        <v xml:space="preserve">女        </v>
      </c>
      <c r="D386" s="4" t="str">
        <f t="shared" si="68"/>
        <v>汉族</v>
      </c>
      <c r="E386" s="5" t="str">
        <f>"广西师范学院师园学院小学教育"</f>
        <v>广西师范学院师园学院小学教育</v>
      </c>
      <c r="F386" s="5" t="str">
        <f t="shared" si="67"/>
        <v>本科学士</v>
      </c>
      <c r="G386" s="6" t="str">
        <f t="shared" si="69"/>
        <v>是</v>
      </c>
      <c r="H386" s="6" t="str">
        <f t="shared" si="58"/>
        <v>小学</v>
      </c>
      <c r="I386" s="6" t="str">
        <f t="shared" si="64"/>
        <v>103:数学</v>
      </c>
      <c r="J386" s="4" t="s">
        <v>11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s="4" customFormat="1" ht="26.1" customHeight="1">
      <c r="A387" s="3">
        <v>385</v>
      </c>
      <c r="B387" s="4" t="str">
        <f>"黄弋栩"</f>
        <v>黄弋栩</v>
      </c>
      <c r="C387" s="4" t="str">
        <f t="shared" si="65"/>
        <v xml:space="preserve">女        </v>
      </c>
      <c r="D387" s="4" t="str">
        <f t="shared" si="68"/>
        <v>汉族</v>
      </c>
      <c r="E387" s="5" t="str">
        <f>"梧州学院小学教育"</f>
        <v>梧州学院小学教育</v>
      </c>
      <c r="F387" s="5" t="str">
        <f t="shared" si="67"/>
        <v>本科学士</v>
      </c>
      <c r="G387" s="6" t="str">
        <f t="shared" si="69"/>
        <v>是</v>
      </c>
      <c r="H387" s="6" t="str">
        <f t="shared" si="58"/>
        <v>小学</v>
      </c>
      <c r="I387" s="6" t="str">
        <f t="shared" si="64"/>
        <v>103:数学</v>
      </c>
      <c r="J387" s="4" t="s">
        <v>12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s="4" customFormat="1" ht="26.1" customHeight="1">
      <c r="A388" s="3">
        <v>386</v>
      </c>
      <c r="B388" s="4" t="str">
        <f>"梁诗婷"</f>
        <v>梁诗婷</v>
      </c>
      <c r="C388" s="4" t="str">
        <f t="shared" si="65"/>
        <v xml:space="preserve">女        </v>
      </c>
      <c r="D388" s="4" t="str">
        <f t="shared" si="68"/>
        <v>汉族</v>
      </c>
      <c r="E388" s="5" t="str">
        <f>"桂林师范高等专科学校学前教育"</f>
        <v>桂林师范高等专科学校学前教育</v>
      </c>
      <c r="F388" s="5" t="str">
        <f>"专科无学位"</f>
        <v>专科无学位</v>
      </c>
      <c r="G388" s="6" t="str">
        <f t="shared" si="69"/>
        <v>是</v>
      </c>
      <c r="H388" s="6" t="str">
        <f t="shared" si="58"/>
        <v>小学</v>
      </c>
      <c r="I388" s="6" t="str">
        <f t="shared" si="64"/>
        <v>103:数学</v>
      </c>
      <c r="J388" s="4" t="s">
        <v>12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s="4" customFormat="1" ht="26.1" customHeight="1">
      <c r="A389" s="3">
        <v>387</v>
      </c>
      <c r="B389" s="4" t="str">
        <f>"李凯燕"</f>
        <v>李凯燕</v>
      </c>
      <c r="C389" s="4" t="str">
        <f t="shared" si="65"/>
        <v xml:space="preserve">女        </v>
      </c>
      <c r="D389" s="4" t="str">
        <f t="shared" si="68"/>
        <v>汉族</v>
      </c>
      <c r="E389" s="5" t="str">
        <f>"桂林师范高等专科学校数学教育"</f>
        <v>桂林师范高等专科学校数学教育</v>
      </c>
      <c r="F389" s="5" t="str">
        <f>"专科无学位"</f>
        <v>专科无学位</v>
      </c>
      <c r="G389" s="6" t="str">
        <f t="shared" si="69"/>
        <v>是</v>
      </c>
      <c r="H389" s="6" t="str">
        <f t="shared" si="58"/>
        <v>小学</v>
      </c>
      <c r="I389" s="6" t="str">
        <f t="shared" si="64"/>
        <v>103:数学</v>
      </c>
      <c r="J389" s="4" t="s">
        <v>12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s="4" customFormat="1" ht="26.1" customHeight="1">
      <c r="A390" s="3">
        <v>388</v>
      </c>
      <c r="B390" s="4" t="str">
        <f>"王宁"</f>
        <v>王宁</v>
      </c>
      <c r="C390" s="4" t="str">
        <f t="shared" si="65"/>
        <v xml:space="preserve">女        </v>
      </c>
      <c r="D390" s="4" t="str">
        <f t="shared" si="68"/>
        <v>汉族</v>
      </c>
      <c r="E390" s="5" t="str">
        <f>"广西师范学院师园学院小学教育"</f>
        <v>广西师范学院师园学院小学教育</v>
      </c>
      <c r="F390" s="5" t="str">
        <f>"本科学士"</f>
        <v>本科学士</v>
      </c>
      <c r="G390" s="6" t="str">
        <f t="shared" si="69"/>
        <v>是</v>
      </c>
      <c r="H390" s="6" t="str">
        <f t="shared" si="58"/>
        <v>小学</v>
      </c>
      <c r="I390" s="6" t="str">
        <f t="shared" si="64"/>
        <v>103:数学</v>
      </c>
      <c r="J390" s="4" t="s">
        <v>12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s="4" customFormat="1" ht="26.1" customHeight="1">
      <c r="A391" s="3">
        <v>389</v>
      </c>
      <c r="B391" s="4" t="str">
        <f>"黄苏媛"</f>
        <v>黄苏媛</v>
      </c>
      <c r="C391" s="4" t="str">
        <f t="shared" si="65"/>
        <v xml:space="preserve">女        </v>
      </c>
      <c r="D391" s="4" t="str">
        <f t="shared" si="68"/>
        <v>汉族</v>
      </c>
      <c r="E391" s="5" t="str">
        <f>"柳州师范高等专科学校数学教育"</f>
        <v>柳州师范高等专科学校数学教育</v>
      </c>
      <c r="F391" s="5" t="str">
        <f>"专科无学位"</f>
        <v>专科无学位</v>
      </c>
      <c r="G391" s="6" t="str">
        <f t="shared" si="69"/>
        <v>是</v>
      </c>
      <c r="H391" s="6" t="str">
        <f t="shared" si="58"/>
        <v>小学</v>
      </c>
      <c r="I391" s="6" t="str">
        <f t="shared" si="64"/>
        <v>103:数学</v>
      </c>
      <c r="J391" s="4" t="s">
        <v>12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s="4" customFormat="1" ht="26.1" customHeight="1">
      <c r="A392" s="3">
        <v>390</v>
      </c>
      <c r="B392" s="4" t="str">
        <f>"李慧芳"</f>
        <v>李慧芳</v>
      </c>
      <c r="C392" s="4" t="str">
        <f t="shared" si="65"/>
        <v xml:space="preserve">女        </v>
      </c>
      <c r="D392" s="4" t="str">
        <f t="shared" si="68"/>
        <v>汉族</v>
      </c>
      <c r="E392" s="5" t="str">
        <f>"柳州师范高等专科学校数学教育"</f>
        <v>柳州师范高等专科学校数学教育</v>
      </c>
      <c r="F392" s="5" t="str">
        <f>"专科无学位"</f>
        <v>专科无学位</v>
      </c>
      <c r="G392" s="6" t="str">
        <f t="shared" si="69"/>
        <v>是</v>
      </c>
      <c r="H392" s="6" t="str">
        <f t="shared" si="58"/>
        <v>小学</v>
      </c>
      <c r="I392" s="6" t="str">
        <f t="shared" si="64"/>
        <v>103:数学</v>
      </c>
      <c r="J392" s="4" t="s">
        <v>12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s="4" customFormat="1" ht="26.1" customHeight="1">
      <c r="A393" s="3">
        <v>391</v>
      </c>
      <c r="B393" s="4" t="str">
        <f>"刘小连"</f>
        <v>刘小连</v>
      </c>
      <c r="C393" s="4" t="str">
        <f t="shared" si="65"/>
        <v xml:space="preserve">女        </v>
      </c>
      <c r="D393" s="4" t="str">
        <f t="shared" si="68"/>
        <v>汉族</v>
      </c>
      <c r="E393" s="5" t="str">
        <f>"百色学院学前教育"</f>
        <v>百色学院学前教育</v>
      </c>
      <c r="F393" s="5" t="str">
        <f>"专科无学位"</f>
        <v>专科无学位</v>
      </c>
      <c r="G393" s="6" t="str">
        <f t="shared" si="69"/>
        <v>是</v>
      </c>
      <c r="H393" s="6" t="str">
        <f t="shared" ref="H393:H456" si="70">"小学"</f>
        <v>小学</v>
      </c>
      <c r="I393" s="6" t="str">
        <f t="shared" si="64"/>
        <v>103:数学</v>
      </c>
      <c r="J393" s="4" t="s">
        <v>12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s="4" customFormat="1" ht="26.1" customHeight="1">
      <c r="A394" s="3">
        <v>392</v>
      </c>
      <c r="B394" s="4" t="str">
        <f>"黄小清"</f>
        <v>黄小清</v>
      </c>
      <c r="C394" s="4" t="str">
        <f t="shared" si="65"/>
        <v xml:space="preserve">女        </v>
      </c>
      <c r="D394" s="4" t="str">
        <f t="shared" si="68"/>
        <v>汉族</v>
      </c>
      <c r="E394" s="5" t="str">
        <f>"梧州学院小学教育"</f>
        <v>梧州学院小学教育</v>
      </c>
      <c r="F394" s="5" t="str">
        <f>"本科学士"</f>
        <v>本科学士</v>
      </c>
      <c r="G394" s="6" t="str">
        <f t="shared" si="69"/>
        <v>是</v>
      </c>
      <c r="H394" s="6" t="str">
        <f t="shared" si="70"/>
        <v>小学</v>
      </c>
      <c r="I394" s="6" t="str">
        <f t="shared" si="64"/>
        <v>103:数学</v>
      </c>
      <c r="J394" s="4" t="s">
        <v>12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s="4" customFormat="1" ht="26.1" customHeight="1">
      <c r="A395" s="3">
        <v>393</v>
      </c>
      <c r="B395" s="4" t="str">
        <f>"陈子平"</f>
        <v>陈子平</v>
      </c>
      <c r="C395" s="4" t="str">
        <f t="shared" si="65"/>
        <v xml:space="preserve">女        </v>
      </c>
      <c r="D395" s="4" t="str">
        <f t="shared" si="68"/>
        <v>汉族</v>
      </c>
      <c r="E395" s="5" t="str">
        <f>"南宁师范大学应用统计学"</f>
        <v>南宁师范大学应用统计学</v>
      </c>
      <c r="F395" s="5" t="str">
        <f>"本科学士"</f>
        <v>本科学士</v>
      </c>
      <c r="G395" s="6" t="str">
        <f>"不是"</f>
        <v>不是</v>
      </c>
      <c r="H395" s="6" t="str">
        <f t="shared" si="70"/>
        <v>小学</v>
      </c>
      <c r="I395" s="6" t="str">
        <f t="shared" si="64"/>
        <v>103:数学</v>
      </c>
      <c r="J395" s="4" t="s">
        <v>12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s="4" customFormat="1" ht="26.1" customHeight="1">
      <c r="A396" s="3">
        <v>394</v>
      </c>
      <c r="B396" s="4" t="str">
        <f>"卢宏"</f>
        <v>卢宏</v>
      </c>
      <c r="C396" s="4" t="str">
        <f t="shared" si="65"/>
        <v xml:space="preserve">女        </v>
      </c>
      <c r="D396" s="4" t="str">
        <f t="shared" si="68"/>
        <v>汉族</v>
      </c>
      <c r="E396" s="5" t="str">
        <f>"玉林师范学院应用化学"</f>
        <v>玉林师范学院应用化学</v>
      </c>
      <c r="F396" s="5" t="str">
        <f>"本科学士"</f>
        <v>本科学士</v>
      </c>
      <c r="G396" s="6" t="str">
        <f>"不是"</f>
        <v>不是</v>
      </c>
      <c r="H396" s="6" t="str">
        <f t="shared" si="70"/>
        <v>小学</v>
      </c>
      <c r="I396" s="6" t="str">
        <f t="shared" si="64"/>
        <v>103:数学</v>
      </c>
      <c r="J396" s="4" t="s">
        <v>12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s="4" customFormat="1" ht="26.1" customHeight="1">
      <c r="A397" s="3">
        <v>395</v>
      </c>
      <c r="B397" s="4" t="str">
        <f>"钟宛芝"</f>
        <v>钟宛芝</v>
      </c>
      <c r="C397" s="4" t="str">
        <f t="shared" si="65"/>
        <v xml:space="preserve">女        </v>
      </c>
      <c r="D397" s="4" t="str">
        <f t="shared" si="68"/>
        <v>汉族</v>
      </c>
      <c r="E397" s="5" t="str">
        <f>"梧州学院数学与应用数学"</f>
        <v>梧州学院数学与应用数学</v>
      </c>
      <c r="F397" s="5" t="str">
        <f>"本科学士"</f>
        <v>本科学士</v>
      </c>
      <c r="G397" s="6" t="str">
        <f>"不是"</f>
        <v>不是</v>
      </c>
      <c r="H397" s="6" t="str">
        <f t="shared" si="70"/>
        <v>小学</v>
      </c>
      <c r="I397" s="6" t="str">
        <f t="shared" si="64"/>
        <v>103:数学</v>
      </c>
      <c r="J397" s="4" t="s">
        <v>12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s="4" customFormat="1" ht="26.1" customHeight="1">
      <c r="A398" s="3">
        <v>396</v>
      </c>
      <c r="B398" s="4" t="str">
        <f>"杨金妮"</f>
        <v>杨金妮</v>
      </c>
      <c r="C398" s="4" t="str">
        <f t="shared" si="65"/>
        <v xml:space="preserve">女        </v>
      </c>
      <c r="D398" s="4" t="str">
        <f t="shared" si="68"/>
        <v>汉族</v>
      </c>
      <c r="E398" s="5" t="str">
        <f>"广西科技师范学院数学教育"</f>
        <v>广西科技师范学院数学教育</v>
      </c>
      <c r="F398" s="5" t="str">
        <f>"专科无学位"</f>
        <v>专科无学位</v>
      </c>
      <c r="G398" s="6" t="str">
        <f>"是"</f>
        <v>是</v>
      </c>
      <c r="H398" s="6" t="str">
        <f t="shared" si="70"/>
        <v>小学</v>
      </c>
      <c r="I398" s="6" t="str">
        <f t="shared" si="64"/>
        <v>103:数学</v>
      </c>
      <c r="J398" s="4" t="s">
        <v>12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s="4" customFormat="1" ht="26.1" customHeight="1">
      <c r="A399" s="3">
        <v>397</v>
      </c>
      <c r="B399" s="4" t="str">
        <f>"宁丽萍"</f>
        <v>宁丽萍</v>
      </c>
      <c r="C399" s="4" t="str">
        <f t="shared" si="65"/>
        <v xml:space="preserve">女        </v>
      </c>
      <c r="D399" s="4" t="str">
        <f t="shared" si="68"/>
        <v>汉族</v>
      </c>
      <c r="E399" s="5" t="str">
        <f>"桂林师范高等专科学校学前教育"</f>
        <v>桂林师范高等专科学校学前教育</v>
      </c>
      <c r="F399" s="5" t="str">
        <f>"专科无学位"</f>
        <v>专科无学位</v>
      </c>
      <c r="G399" s="6" t="str">
        <f>"是"</f>
        <v>是</v>
      </c>
      <c r="H399" s="6" t="str">
        <f t="shared" si="70"/>
        <v>小学</v>
      </c>
      <c r="I399" s="6" t="str">
        <f t="shared" si="64"/>
        <v>103:数学</v>
      </c>
      <c r="J399" s="4" t="s">
        <v>12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s="4" customFormat="1" ht="26.1" customHeight="1">
      <c r="A400" s="3">
        <v>398</v>
      </c>
      <c r="B400" s="4" t="str">
        <f>"唐礼萍"</f>
        <v>唐礼萍</v>
      </c>
      <c r="C400" s="4" t="str">
        <f t="shared" si="65"/>
        <v xml:space="preserve">女        </v>
      </c>
      <c r="D400" s="4" t="str">
        <f t="shared" si="68"/>
        <v>汉族</v>
      </c>
      <c r="E400" s="5" t="str">
        <f>"桂林医学院市场营销"</f>
        <v>桂林医学院市场营销</v>
      </c>
      <c r="F400" s="5" t="str">
        <f>"本科学士"</f>
        <v>本科学士</v>
      </c>
      <c r="G400" s="6" t="str">
        <f>"不是"</f>
        <v>不是</v>
      </c>
      <c r="H400" s="6" t="str">
        <f t="shared" si="70"/>
        <v>小学</v>
      </c>
      <c r="I400" s="6" t="str">
        <f t="shared" si="64"/>
        <v>103:数学</v>
      </c>
      <c r="J400" s="4" t="s">
        <v>12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s="4" customFormat="1" ht="26.1" customHeight="1">
      <c r="A401" s="3">
        <v>399</v>
      </c>
      <c r="B401" s="4" t="str">
        <f>"庞清清"</f>
        <v>庞清清</v>
      </c>
      <c r="C401" s="4" t="str">
        <f t="shared" si="65"/>
        <v xml:space="preserve">女        </v>
      </c>
      <c r="D401" s="4" t="str">
        <f t="shared" si="68"/>
        <v>汉族</v>
      </c>
      <c r="E401" s="5" t="str">
        <f>"广西教育学院数学教育"</f>
        <v>广西教育学院数学教育</v>
      </c>
      <c r="F401" s="5" t="str">
        <f>"专科无学位"</f>
        <v>专科无学位</v>
      </c>
      <c r="G401" s="6" t="str">
        <f>"是"</f>
        <v>是</v>
      </c>
      <c r="H401" s="6" t="str">
        <f t="shared" si="70"/>
        <v>小学</v>
      </c>
      <c r="I401" s="6" t="str">
        <f t="shared" si="64"/>
        <v>103:数学</v>
      </c>
      <c r="J401" s="4" t="s">
        <v>12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s="4" customFormat="1" ht="26.1" customHeight="1">
      <c r="A402" s="3">
        <v>400</v>
      </c>
      <c r="B402" s="4" t="str">
        <f>"陈柳云"</f>
        <v>陈柳云</v>
      </c>
      <c r="C402" s="4" t="str">
        <f t="shared" si="65"/>
        <v xml:space="preserve">女        </v>
      </c>
      <c r="D402" s="4" t="str">
        <f t="shared" si="68"/>
        <v>汉族</v>
      </c>
      <c r="E402" s="5" t="str">
        <f>"玉林师范学院数学与应用数学"</f>
        <v>玉林师范学院数学与应用数学</v>
      </c>
      <c r="F402" s="5" t="str">
        <f>"本科学士"</f>
        <v>本科学士</v>
      </c>
      <c r="G402" s="6" t="str">
        <f>"是"</f>
        <v>是</v>
      </c>
      <c r="H402" s="6" t="str">
        <f t="shared" si="70"/>
        <v>小学</v>
      </c>
      <c r="I402" s="6" t="str">
        <f t="shared" si="64"/>
        <v>103:数学</v>
      </c>
      <c r="J402" s="4" t="s">
        <v>12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s="4" customFormat="1" ht="26.1" customHeight="1">
      <c r="A403" s="3">
        <v>401</v>
      </c>
      <c r="B403" s="4" t="str">
        <f>"黄祖悟"</f>
        <v>黄祖悟</v>
      </c>
      <c r="C403" s="4" t="str">
        <f t="shared" si="65"/>
        <v xml:space="preserve">女        </v>
      </c>
      <c r="D403" s="4" t="str">
        <f>"壮族"</f>
        <v>壮族</v>
      </c>
      <c r="E403" s="5" t="str">
        <f>"河池学院经济统计学"</f>
        <v>河池学院经济统计学</v>
      </c>
      <c r="F403" s="5" t="str">
        <f>"本科学士"</f>
        <v>本科学士</v>
      </c>
      <c r="G403" s="6" t="str">
        <f>"不是"</f>
        <v>不是</v>
      </c>
      <c r="H403" s="6" t="str">
        <f t="shared" si="70"/>
        <v>小学</v>
      </c>
      <c r="I403" s="6" t="str">
        <f t="shared" si="64"/>
        <v>103:数学</v>
      </c>
      <c r="J403" s="4" t="s">
        <v>12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s="4" customFormat="1" ht="26.1" customHeight="1">
      <c r="A404" s="3">
        <v>402</v>
      </c>
      <c r="B404" s="4" t="str">
        <f>"宋招英"</f>
        <v>宋招英</v>
      </c>
      <c r="C404" s="4" t="str">
        <f t="shared" si="65"/>
        <v xml:space="preserve">女        </v>
      </c>
      <c r="D404" s="4" t="str">
        <f t="shared" ref="D404:D440" si="71">"汉族"</f>
        <v>汉族</v>
      </c>
      <c r="E404" s="5" t="str">
        <f>"广西财经学院工商管理"</f>
        <v>广西财经学院工商管理</v>
      </c>
      <c r="F404" s="5" t="str">
        <f>"本科学士"</f>
        <v>本科学士</v>
      </c>
      <c r="G404" s="6" t="str">
        <f>"不是"</f>
        <v>不是</v>
      </c>
      <c r="H404" s="6" t="str">
        <f t="shared" si="70"/>
        <v>小学</v>
      </c>
      <c r="I404" s="6" t="str">
        <f t="shared" si="64"/>
        <v>103:数学</v>
      </c>
      <c r="J404" s="4" t="s">
        <v>12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s="4" customFormat="1" ht="26.1" customHeight="1">
      <c r="A405" s="3">
        <v>403</v>
      </c>
      <c r="B405" s="4" t="str">
        <f>"王勇"</f>
        <v>王勇</v>
      </c>
      <c r="C405" s="4" t="str">
        <f>"男        "</f>
        <v xml:space="preserve">男        </v>
      </c>
      <c r="D405" s="4" t="str">
        <f t="shared" si="71"/>
        <v>汉族</v>
      </c>
      <c r="E405" s="5" t="str">
        <f>"河池学院电子信息工程"</f>
        <v>河池学院电子信息工程</v>
      </c>
      <c r="F405" s="5" t="str">
        <f>"本科学士"</f>
        <v>本科学士</v>
      </c>
      <c r="G405" s="6" t="str">
        <f>"不是"</f>
        <v>不是</v>
      </c>
      <c r="H405" s="6" t="str">
        <f t="shared" si="70"/>
        <v>小学</v>
      </c>
      <c r="I405" s="6" t="str">
        <f t="shared" si="64"/>
        <v>103:数学</v>
      </c>
      <c r="J405" s="4" t="s">
        <v>12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s="4" customFormat="1" ht="26.1" customHeight="1">
      <c r="A406" s="3">
        <v>404</v>
      </c>
      <c r="B406" s="4" t="str">
        <f>"林圆圆"</f>
        <v>林圆圆</v>
      </c>
      <c r="C406" s="4" t="str">
        <f t="shared" ref="C406:C426" si="72">"女        "</f>
        <v xml:space="preserve">女        </v>
      </c>
      <c r="D406" s="4" t="str">
        <f t="shared" si="71"/>
        <v>汉族</v>
      </c>
      <c r="E406" s="5" t="str">
        <f>"南宁地区教育学院数学教育"</f>
        <v>南宁地区教育学院数学教育</v>
      </c>
      <c r="F406" s="5" t="str">
        <f>"专科无学位"</f>
        <v>专科无学位</v>
      </c>
      <c r="G406" s="6" t="str">
        <f>"是"</f>
        <v>是</v>
      </c>
      <c r="H406" s="6" t="str">
        <f t="shared" si="70"/>
        <v>小学</v>
      </c>
      <c r="I406" s="6" t="str">
        <f t="shared" si="64"/>
        <v>103:数学</v>
      </c>
      <c r="J406" s="4" t="s">
        <v>12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s="4" customFormat="1" ht="26.1" customHeight="1">
      <c r="A407" s="3">
        <v>405</v>
      </c>
      <c r="B407" s="4" t="str">
        <f>"杨馥蔓"</f>
        <v>杨馥蔓</v>
      </c>
      <c r="C407" s="4" t="str">
        <f t="shared" si="72"/>
        <v xml:space="preserve">女        </v>
      </c>
      <c r="D407" s="4" t="str">
        <f t="shared" si="71"/>
        <v>汉族</v>
      </c>
      <c r="E407" s="5" t="str">
        <f>"桂林医学院药学"</f>
        <v>桂林医学院药学</v>
      </c>
      <c r="F407" s="5" t="str">
        <f t="shared" ref="F407:F418" si="73">"本科学士"</f>
        <v>本科学士</v>
      </c>
      <c r="G407" s="6" t="str">
        <f>"不是"</f>
        <v>不是</v>
      </c>
      <c r="H407" s="6" t="str">
        <f t="shared" si="70"/>
        <v>小学</v>
      </c>
      <c r="I407" s="6" t="str">
        <f t="shared" si="64"/>
        <v>103:数学</v>
      </c>
      <c r="J407" s="4" t="s">
        <v>12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s="4" customFormat="1" ht="26.1" customHeight="1">
      <c r="A408" s="3">
        <v>406</v>
      </c>
      <c r="B408" s="4" t="str">
        <f>"莫海媚"</f>
        <v>莫海媚</v>
      </c>
      <c r="C408" s="4" t="str">
        <f t="shared" si="72"/>
        <v xml:space="preserve">女        </v>
      </c>
      <c r="D408" s="4" t="str">
        <f t="shared" si="71"/>
        <v>汉族</v>
      </c>
      <c r="E408" s="5" t="str">
        <f>"广西师范大学漓江学院数学与应用数学"</f>
        <v>广西师范大学漓江学院数学与应用数学</v>
      </c>
      <c r="F408" s="5" t="str">
        <f t="shared" si="73"/>
        <v>本科学士</v>
      </c>
      <c r="G408" s="6" t="str">
        <f>"是"</f>
        <v>是</v>
      </c>
      <c r="H408" s="6" t="str">
        <f t="shared" si="70"/>
        <v>小学</v>
      </c>
      <c r="I408" s="6" t="str">
        <f t="shared" si="64"/>
        <v>103:数学</v>
      </c>
      <c r="J408" s="4" t="s">
        <v>12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s="4" customFormat="1" ht="26.1" customHeight="1">
      <c r="A409" s="3">
        <v>407</v>
      </c>
      <c r="B409" s="4" t="str">
        <f>"钟如愈"</f>
        <v>钟如愈</v>
      </c>
      <c r="C409" s="4" t="str">
        <f t="shared" si="72"/>
        <v xml:space="preserve">女        </v>
      </c>
      <c r="D409" s="4" t="str">
        <f t="shared" si="71"/>
        <v>汉族</v>
      </c>
      <c r="E409" s="5" t="str">
        <f>"广西中医药大学护理学"</f>
        <v>广西中医药大学护理学</v>
      </c>
      <c r="F409" s="5" t="str">
        <f t="shared" si="73"/>
        <v>本科学士</v>
      </c>
      <c r="G409" s="6" t="str">
        <f>"不是"</f>
        <v>不是</v>
      </c>
      <c r="H409" s="6" t="str">
        <f t="shared" si="70"/>
        <v>小学</v>
      </c>
      <c r="I409" s="6" t="str">
        <f t="shared" si="64"/>
        <v>103:数学</v>
      </c>
      <c r="J409" s="4" t="s">
        <v>12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s="4" customFormat="1" ht="26.1" customHeight="1">
      <c r="A410" s="3">
        <v>408</v>
      </c>
      <c r="B410" s="4" t="str">
        <f>"黎虹杏"</f>
        <v>黎虹杏</v>
      </c>
      <c r="C410" s="4" t="str">
        <f t="shared" si="72"/>
        <v xml:space="preserve">女        </v>
      </c>
      <c r="D410" s="4" t="str">
        <f t="shared" si="71"/>
        <v>汉族</v>
      </c>
      <c r="E410" s="5" t="str">
        <f>"贺州学院小学教育数学"</f>
        <v>贺州学院小学教育数学</v>
      </c>
      <c r="F410" s="5" t="str">
        <f t="shared" si="73"/>
        <v>本科学士</v>
      </c>
      <c r="G410" s="6" t="str">
        <f>"是"</f>
        <v>是</v>
      </c>
      <c r="H410" s="6" t="str">
        <f t="shared" si="70"/>
        <v>小学</v>
      </c>
      <c r="I410" s="6" t="str">
        <f t="shared" si="64"/>
        <v>103:数学</v>
      </c>
      <c r="J410" s="4" t="s">
        <v>12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s="4" customFormat="1" ht="26.1" customHeight="1">
      <c r="A411" s="3">
        <v>409</v>
      </c>
      <c r="B411" s="4" t="str">
        <f>"韦人方"</f>
        <v>韦人方</v>
      </c>
      <c r="C411" s="4" t="str">
        <f t="shared" si="72"/>
        <v xml:space="preserve">女        </v>
      </c>
      <c r="D411" s="4" t="str">
        <f t="shared" si="71"/>
        <v>汉族</v>
      </c>
      <c r="E411" s="5" t="str">
        <f>"玉林师范学院小学教育"</f>
        <v>玉林师范学院小学教育</v>
      </c>
      <c r="F411" s="5" t="str">
        <f t="shared" si="73"/>
        <v>本科学士</v>
      </c>
      <c r="G411" s="6" t="str">
        <f>"是"</f>
        <v>是</v>
      </c>
      <c r="H411" s="6" t="str">
        <f t="shared" si="70"/>
        <v>小学</v>
      </c>
      <c r="I411" s="6" t="str">
        <f t="shared" si="64"/>
        <v>103:数学</v>
      </c>
      <c r="J411" s="4" t="s">
        <v>12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s="4" customFormat="1" ht="26.1" customHeight="1">
      <c r="A412" s="3">
        <v>410</v>
      </c>
      <c r="B412" s="4" t="str">
        <f>"黎薏"</f>
        <v>黎薏</v>
      </c>
      <c r="C412" s="4" t="str">
        <f t="shared" si="72"/>
        <v xml:space="preserve">女        </v>
      </c>
      <c r="D412" s="4" t="str">
        <f t="shared" si="71"/>
        <v>汉族</v>
      </c>
      <c r="E412" s="5" t="str">
        <f>"广西师范大学漓江学院金融学"</f>
        <v>广西师范大学漓江学院金融学</v>
      </c>
      <c r="F412" s="5" t="str">
        <f t="shared" si="73"/>
        <v>本科学士</v>
      </c>
      <c r="G412" s="6" t="str">
        <f>"不是"</f>
        <v>不是</v>
      </c>
      <c r="H412" s="6" t="str">
        <f t="shared" si="70"/>
        <v>小学</v>
      </c>
      <c r="I412" s="6" t="str">
        <f t="shared" si="64"/>
        <v>103:数学</v>
      </c>
      <c r="J412" s="4" t="s">
        <v>12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s="4" customFormat="1" ht="26.1" customHeight="1">
      <c r="A413" s="3">
        <v>411</v>
      </c>
      <c r="B413" s="4" t="str">
        <f>"黄雪玲"</f>
        <v>黄雪玲</v>
      </c>
      <c r="C413" s="4" t="str">
        <f t="shared" si="72"/>
        <v xml:space="preserve">女        </v>
      </c>
      <c r="D413" s="4" t="str">
        <f t="shared" si="71"/>
        <v>汉族</v>
      </c>
      <c r="E413" s="5" t="str">
        <f>"百色学院小学教育"</f>
        <v>百色学院小学教育</v>
      </c>
      <c r="F413" s="5" t="str">
        <f t="shared" si="73"/>
        <v>本科学士</v>
      </c>
      <c r="G413" s="6" t="str">
        <f>"是"</f>
        <v>是</v>
      </c>
      <c r="H413" s="6" t="str">
        <f t="shared" si="70"/>
        <v>小学</v>
      </c>
      <c r="I413" s="6" t="str">
        <f t="shared" si="64"/>
        <v>103:数学</v>
      </c>
      <c r="J413" s="4" t="s">
        <v>12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s="4" customFormat="1" ht="26.1" customHeight="1">
      <c r="A414" s="3">
        <v>412</v>
      </c>
      <c r="B414" s="4" t="str">
        <f>"卢海琼"</f>
        <v>卢海琼</v>
      </c>
      <c r="C414" s="4" t="str">
        <f t="shared" si="72"/>
        <v xml:space="preserve">女        </v>
      </c>
      <c r="D414" s="4" t="str">
        <f t="shared" si="71"/>
        <v>汉族</v>
      </c>
      <c r="E414" s="5" t="str">
        <f>"桂林理工大学社会工作"</f>
        <v>桂林理工大学社会工作</v>
      </c>
      <c r="F414" s="5" t="str">
        <f t="shared" si="73"/>
        <v>本科学士</v>
      </c>
      <c r="G414" s="6" t="str">
        <f>"不是"</f>
        <v>不是</v>
      </c>
      <c r="H414" s="6" t="str">
        <f t="shared" si="70"/>
        <v>小学</v>
      </c>
      <c r="I414" s="6" t="str">
        <f t="shared" si="64"/>
        <v>103:数学</v>
      </c>
      <c r="J414" s="4" t="s">
        <v>13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s="4" customFormat="1" ht="26.1" customHeight="1">
      <c r="A415" s="3">
        <v>413</v>
      </c>
      <c r="B415" s="4" t="str">
        <f>"刘芯宇"</f>
        <v>刘芯宇</v>
      </c>
      <c r="C415" s="4" t="str">
        <f t="shared" si="72"/>
        <v xml:space="preserve">女        </v>
      </c>
      <c r="D415" s="4" t="str">
        <f t="shared" si="71"/>
        <v>汉族</v>
      </c>
      <c r="E415" s="5" t="str">
        <f>"玉林师范学院数学与应用数学"</f>
        <v>玉林师范学院数学与应用数学</v>
      </c>
      <c r="F415" s="5" t="str">
        <f t="shared" si="73"/>
        <v>本科学士</v>
      </c>
      <c r="G415" s="6" t="str">
        <f t="shared" ref="G415:G423" si="74">"是"</f>
        <v>是</v>
      </c>
      <c r="H415" s="6" t="str">
        <f t="shared" si="70"/>
        <v>小学</v>
      </c>
      <c r="I415" s="6" t="str">
        <f t="shared" si="64"/>
        <v>103:数学</v>
      </c>
      <c r="J415" s="4" t="s">
        <v>13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s="4" customFormat="1" ht="26.1" customHeight="1">
      <c r="A416" s="3">
        <v>414</v>
      </c>
      <c r="B416" s="4" t="str">
        <f>"范鑫婷"</f>
        <v>范鑫婷</v>
      </c>
      <c r="C416" s="4" t="str">
        <f t="shared" si="72"/>
        <v xml:space="preserve">女        </v>
      </c>
      <c r="D416" s="4" t="str">
        <f t="shared" si="71"/>
        <v>汉族</v>
      </c>
      <c r="E416" s="5" t="str">
        <f>"贺州学院学前教育"</f>
        <v>贺州学院学前教育</v>
      </c>
      <c r="F416" s="5" t="str">
        <f t="shared" si="73"/>
        <v>本科学士</v>
      </c>
      <c r="G416" s="6" t="str">
        <f t="shared" si="74"/>
        <v>是</v>
      </c>
      <c r="H416" s="6" t="str">
        <f t="shared" si="70"/>
        <v>小学</v>
      </c>
      <c r="I416" s="6" t="str">
        <f t="shared" si="64"/>
        <v>103:数学</v>
      </c>
      <c r="J416" s="4" t="s">
        <v>13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s="4" customFormat="1" ht="26.1" customHeight="1">
      <c r="A417" s="3">
        <v>415</v>
      </c>
      <c r="B417" s="4" t="str">
        <f>"李燕"</f>
        <v>李燕</v>
      </c>
      <c r="C417" s="4" t="str">
        <f t="shared" si="72"/>
        <v xml:space="preserve">女        </v>
      </c>
      <c r="D417" s="4" t="str">
        <f t="shared" si="71"/>
        <v>汉族</v>
      </c>
      <c r="E417" s="5" t="str">
        <f>"玉林师范学院小学教育"</f>
        <v>玉林师范学院小学教育</v>
      </c>
      <c r="F417" s="5" t="str">
        <f t="shared" si="73"/>
        <v>本科学士</v>
      </c>
      <c r="G417" s="6" t="str">
        <f t="shared" si="74"/>
        <v>是</v>
      </c>
      <c r="H417" s="6" t="str">
        <f t="shared" si="70"/>
        <v>小学</v>
      </c>
      <c r="I417" s="6" t="str">
        <f t="shared" si="64"/>
        <v>103:数学</v>
      </c>
      <c r="J417" s="4" t="s">
        <v>13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s="4" customFormat="1" ht="26.1" customHeight="1">
      <c r="A418" s="3">
        <v>416</v>
      </c>
      <c r="B418" s="4" t="str">
        <f>"黄静"</f>
        <v>黄静</v>
      </c>
      <c r="C418" s="4" t="str">
        <f t="shared" si="72"/>
        <v xml:space="preserve">女        </v>
      </c>
      <c r="D418" s="4" t="str">
        <f t="shared" si="71"/>
        <v>汉族</v>
      </c>
      <c r="E418" s="5" t="str">
        <f>"广西师范大学漓江学院学前教育"</f>
        <v>广西师范大学漓江学院学前教育</v>
      </c>
      <c r="F418" s="5" t="str">
        <f t="shared" si="73"/>
        <v>本科学士</v>
      </c>
      <c r="G418" s="6" t="str">
        <f t="shared" si="74"/>
        <v>是</v>
      </c>
      <c r="H418" s="6" t="str">
        <f t="shared" si="70"/>
        <v>小学</v>
      </c>
      <c r="I418" s="6" t="str">
        <f t="shared" si="64"/>
        <v>103:数学</v>
      </c>
      <c r="J418" s="4" t="s">
        <v>13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s="4" customFormat="1" ht="26.1" customHeight="1">
      <c r="A419" s="3">
        <v>417</v>
      </c>
      <c r="B419" s="4" t="str">
        <f>"梁秋宏"</f>
        <v>梁秋宏</v>
      </c>
      <c r="C419" s="4" t="str">
        <f t="shared" si="72"/>
        <v xml:space="preserve">女        </v>
      </c>
      <c r="D419" s="4" t="str">
        <f t="shared" si="71"/>
        <v>汉族</v>
      </c>
      <c r="E419" s="5" t="str">
        <f>"广西教育学院数学教育"</f>
        <v>广西教育学院数学教育</v>
      </c>
      <c r="F419" s="5" t="str">
        <f>"专科无学位"</f>
        <v>专科无学位</v>
      </c>
      <c r="G419" s="6" t="str">
        <f t="shared" si="74"/>
        <v>是</v>
      </c>
      <c r="H419" s="6" t="str">
        <f t="shared" si="70"/>
        <v>小学</v>
      </c>
      <c r="I419" s="6" t="str">
        <f t="shared" si="64"/>
        <v>103:数学</v>
      </c>
      <c r="J419" s="4" t="s">
        <v>13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s="4" customFormat="1" ht="26.1" customHeight="1">
      <c r="A420" s="3">
        <v>418</v>
      </c>
      <c r="B420" s="4" t="str">
        <f>"陆丽萍"</f>
        <v>陆丽萍</v>
      </c>
      <c r="C420" s="4" t="str">
        <f t="shared" si="72"/>
        <v xml:space="preserve">女        </v>
      </c>
      <c r="D420" s="4" t="str">
        <f t="shared" si="71"/>
        <v>汉族</v>
      </c>
      <c r="E420" s="5" t="str">
        <f>"梧州学院学前教育"</f>
        <v>梧州学院学前教育</v>
      </c>
      <c r="F420" s="5" t="str">
        <f>"本科学士"</f>
        <v>本科学士</v>
      </c>
      <c r="G420" s="6" t="str">
        <f t="shared" si="74"/>
        <v>是</v>
      </c>
      <c r="H420" s="6" t="str">
        <f t="shared" si="70"/>
        <v>小学</v>
      </c>
      <c r="I420" s="6" t="str">
        <f t="shared" si="64"/>
        <v>103:数学</v>
      </c>
      <c r="J420" s="4" t="s">
        <v>13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s="4" customFormat="1" ht="26.1" customHeight="1">
      <c r="A421" s="3">
        <v>419</v>
      </c>
      <c r="B421" s="4" t="str">
        <f>"李秀坚"</f>
        <v>李秀坚</v>
      </c>
      <c r="C421" s="4" t="str">
        <f t="shared" si="72"/>
        <v xml:space="preserve">女        </v>
      </c>
      <c r="D421" s="4" t="str">
        <f t="shared" si="71"/>
        <v>汉族</v>
      </c>
      <c r="E421" s="5" t="str">
        <f>"广西师范学院小学教育"</f>
        <v>广西师范学院小学教育</v>
      </c>
      <c r="F421" s="5" t="str">
        <f>"本科学士"</f>
        <v>本科学士</v>
      </c>
      <c r="G421" s="6" t="str">
        <f t="shared" si="74"/>
        <v>是</v>
      </c>
      <c r="H421" s="6" t="str">
        <f t="shared" si="70"/>
        <v>小学</v>
      </c>
      <c r="I421" s="6" t="str">
        <f t="shared" si="64"/>
        <v>103:数学</v>
      </c>
      <c r="J421" s="4" t="s">
        <v>13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s="4" customFormat="1" ht="26.1" customHeight="1">
      <c r="A422" s="3">
        <v>420</v>
      </c>
      <c r="B422" s="4" t="str">
        <f>"赵盈"</f>
        <v>赵盈</v>
      </c>
      <c r="C422" s="4" t="str">
        <f t="shared" si="72"/>
        <v xml:space="preserve">女        </v>
      </c>
      <c r="D422" s="4" t="str">
        <f t="shared" si="71"/>
        <v>汉族</v>
      </c>
      <c r="E422" s="5" t="str">
        <f>"广西教育学院数学教育"</f>
        <v>广西教育学院数学教育</v>
      </c>
      <c r="F422" s="5" t="str">
        <f>"专科无学位"</f>
        <v>专科无学位</v>
      </c>
      <c r="G422" s="6" t="str">
        <f t="shared" si="74"/>
        <v>是</v>
      </c>
      <c r="H422" s="6" t="str">
        <f t="shared" si="70"/>
        <v>小学</v>
      </c>
      <c r="I422" s="6" t="str">
        <f t="shared" si="64"/>
        <v>103:数学</v>
      </c>
      <c r="J422" s="4" t="s">
        <v>13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s="4" customFormat="1" ht="26.1" customHeight="1">
      <c r="A423" s="3">
        <v>421</v>
      </c>
      <c r="B423" s="4" t="str">
        <f>"罗文婵"</f>
        <v>罗文婵</v>
      </c>
      <c r="C423" s="4" t="str">
        <f t="shared" si="72"/>
        <v xml:space="preserve">女        </v>
      </c>
      <c r="D423" s="4" t="str">
        <f t="shared" si="71"/>
        <v>汉族</v>
      </c>
      <c r="E423" s="5" t="str">
        <f>"广西师范大学会计学"</f>
        <v>广西师范大学会计学</v>
      </c>
      <c r="F423" s="5" t="str">
        <f t="shared" ref="F423:F434" si="75">"本科学士"</f>
        <v>本科学士</v>
      </c>
      <c r="G423" s="6" t="str">
        <f t="shared" si="74"/>
        <v>是</v>
      </c>
      <c r="H423" s="6" t="str">
        <f t="shared" si="70"/>
        <v>小学</v>
      </c>
      <c r="I423" s="6" t="str">
        <f t="shared" si="64"/>
        <v>103:数学</v>
      </c>
      <c r="J423" s="4" t="s">
        <v>13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s="4" customFormat="1" ht="26.1" customHeight="1">
      <c r="A424" s="3">
        <v>422</v>
      </c>
      <c r="B424" s="4" t="str">
        <f>"吴琳珊"</f>
        <v>吴琳珊</v>
      </c>
      <c r="C424" s="4" t="str">
        <f t="shared" si="72"/>
        <v xml:space="preserve">女        </v>
      </c>
      <c r="D424" s="4" t="str">
        <f t="shared" si="71"/>
        <v>汉族</v>
      </c>
      <c r="E424" s="5" t="str">
        <f>"玉林师范学院制药工程"</f>
        <v>玉林师范学院制药工程</v>
      </c>
      <c r="F424" s="5" t="str">
        <f t="shared" si="75"/>
        <v>本科学士</v>
      </c>
      <c r="G424" s="6" t="str">
        <f>"不是"</f>
        <v>不是</v>
      </c>
      <c r="H424" s="6" t="str">
        <f t="shared" si="70"/>
        <v>小学</v>
      </c>
      <c r="I424" s="6" t="str">
        <f t="shared" si="64"/>
        <v>103:数学</v>
      </c>
      <c r="J424" s="4" t="s">
        <v>13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s="4" customFormat="1" ht="26.1" customHeight="1">
      <c r="A425" s="3">
        <v>423</v>
      </c>
      <c r="B425" s="4" t="str">
        <f>"李燕君"</f>
        <v>李燕君</v>
      </c>
      <c r="C425" s="4" t="str">
        <f t="shared" si="72"/>
        <v xml:space="preserve">女        </v>
      </c>
      <c r="D425" s="4" t="str">
        <f t="shared" si="71"/>
        <v>汉族</v>
      </c>
      <c r="E425" s="5" t="str">
        <f>"江西师范大学小学教育数学方向"</f>
        <v>江西师范大学小学教育数学方向</v>
      </c>
      <c r="F425" s="5" t="str">
        <f t="shared" si="75"/>
        <v>本科学士</v>
      </c>
      <c r="G425" s="6" t="str">
        <f>"是"</f>
        <v>是</v>
      </c>
      <c r="H425" s="6" t="str">
        <f t="shared" si="70"/>
        <v>小学</v>
      </c>
      <c r="I425" s="6" t="str">
        <f t="shared" si="64"/>
        <v>103:数学</v>
      </c>
      <c r="J425" s="4" t="s">
        <v>13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s="4" customFormat="1" ht="26.1" customHeight="1">
      <c r="A426" s="3">
        <v>424</v>
      </c>
      <c r="B426" s="4" t="str">
        <f>"陈永妮"</f>
        <v>陈永妮</v>
      </c>
      <c r="C426" s="4" t="str">
        <f t="shared" si="72"/>
        <v xml:space="preserve">女        </v>
      </c>
      <c r="D426" s="4" t="str">
        <f t="shared" si="71"/>
        <v>汉族</v>
      </c>
      <c r="E426" s="5" t="str">
        <f>"河北师范大学数学与应用数学"</f>
        <v>河北师范大学数学与应用数学</v>
      </c>
      <c r="F426" s="5" t="str">
        <f t="shared" si="75"/>
        <v>本科学士</v>
      </c>
      <c r="G426" s="6" t="str">
        <f>"是"</f>
        <v>是</v>
      </c>
      <c r="H426" s="6" t="str">
        <f t="shared" si="70"/>
        <v>小学</v>
      </c>
      <c r="I426" s="6" t="str">
        <f t="shared" si="64"/>
        <v>103:数学</v>
      </c>
      <c r="J426" s="4" t="s">
        <v>13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s="4" customFormat="1" ht="26.1" customHeight="1">
      <c r="A427" s="3">
        <v>425</v>
      </c>
      <c r="B427" s="4" t="str">
        <f>"丘文雄"</f>
        <v>丘文雄</v>
      </c>
      <c r="C427" s="4" t="str">
        <f>"男        "</f>
        <v xml:space="preserve">男        </v>
      </c>
      <c r="D427" s="4" t="str">
        <f t="shared" si="71"/>
        <v>汉族</v>
      </c>
      <c r="E427" s="5" t="str">
        <f>"广西百色学院数学与应用数学"</f>
        <v>广西百色学院数学与应用数学</v>
      </c>
      <c r="F427" s="5" t="str">
        <f t="shared" si="75"/>
        <v>本科学士</v>
      </c>
      <c r="G427" s="6" t="str">
        <f>"是"</f>
        <v>是</v>
      </c>
      <c r="H427" s="6" t="str">
        <f t="shared" si="70"/>
        <v>小学</v>
      </c>
      <c r="I427" s="6" t="str">
        <f t="shared" si="64"/>
        <v>103:数学</v>
      </c>
      <c r="J427" s="4" t="s">
        <v>13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s="4" customFormat="1" ht="26.1" customHeight="1">
      <c r="A428" s="3">
        <v>426</v>
      </c>
      <c r="B428" s="4" t="str">
        <f>"陆铿全"</f>
        <v>陆铿全</v>
      </c>
      <c r="C428" s="4" t="str">
        <f>"男        "</f>
        <v xml:space="preserve">男        </v>
      </c>
      <c r="D428" s="4" t="str">
        <f t="shared" si="71"/>
        <v>汉族</v>
      </c>
      <c r="E428" s="5" t="str">
        <f>"广西民族大学自动化"</f>
        <v>广西民族大学自动化</v>
      </c>
      <c r="F428" s="5" t="str">
        <f t="shared" si="75"/>
        <v>本科学士</v>
      </c>
      <c r="G428" s="6" t="str">
        <f>"不是"</f>
        <v>不是</v>
      </c>
      <c r="H428" s="6" t="str">
        <f t="shared" si="70"/>
        <v>小学</v>
      </c>
      <c r="I428" s="6" t="str">
        <f t="shared" si="64"/>
        <v>103:数学</v>
      </c>
      <c r="J428" s="4" t="s">
        <v>13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s="4" customFormat="1" ht="26.1" customHeight="1">
      <c r="A429" s="3">
        <v>427</v>
      </c>
      <c r="B429" s="4" t="str">
        <f>"李芳茗"</f>
        <v>李芳茗</v>
      </c>
      <c r="C429" s="4" t="str">
        <f>"女        "</f>
        <v xml:space="preserve">女        </v>
      </c>
      <c r="D429" s="4" t="str">
        <f t="shared" si="71"/>
        <v>汉族</v>
      </c>
      <c r="E429" s="5" t="str">
        <f>"贺州学院数学与应用数学"</f>
        <v>贺州学院数学与应用数学</v>
      </c>
      <c r="F429" s="5" t="str">
        <f t="shared" si="75"/>
        <v>本科学士</v>
      </c>
      <c r="G429" s="6" t="str">
        <f>"不是"</f>
        <v>不是</v>
      </c>
      <c r="H429" s="6" t="str">
        <f t="shared" si="70"/>
        <v>小学</v>
      </c>
      <c r="I429" s="6" t="str">
        <f t="shared" ref="I429:I463" si="76">"103:数学"</f>
        <v>103:数学</v>
      </c>
      <c r="J429" s="4" t="s">
        <v>13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s="4" customFormat="1" ht="26.1" customHeight="1">
      <c r="A430" s="3">
        <v>428</v>
      </c>
      <c r="B430" s="4" t="str">
        <f>"覃琦"</f>
        <v>覃琦</v>
      </c>
      <c r="C430" s="4" t="str">
        <f>"女        "</f>
        <v xml:space="preserve">女        </v>
      </c>
      <c r="D430" s="4" t="str">
        <f t="shared" si="71"/>
        <v>汉族</v>
      </c>
      <c r="E430" s="5" t="str">
        <f>"玉林师范学院学前教育"</f>
        <v>玉林师范学院学前教育</v>
      </c>
      <c r="F430" s="5" t="str">
        <f t="shared" si="75"/>
        <v>本科学士</v>
      </c>
      <c r="G430" s="6" t="str">
        <f>"是"</f>
        <v>是</v>
      </c>
      <c r="H430" s="6" t="str">
        <f t="shared" si="70"/>
        <v>小学</v>
      </c>
      <c r="I430" s="6" t="str">
        <f t="shared" si="76"/>
        <v>103:数学</v>
      </c>
      <c r="J430" s="4" t="s">
        <v>13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s="4" customFormat="1" ht="26.1" customHeight="1">
      <c r="A431" s="3">
        <v>429</v>
      </c>
      <c r="B431" s="4" t="str">
        <f>"温斯惠"</f>
        <v>温斯惠</v>
      </c>
      <c r="C431" s="4" t="str">
        <f>"女        "</f>
        <v xml:space="preserve">女        </v>
      </c>
      <c r="D431" s="4" t="str">
        <f t="shared" si="71"/>
        <v>汉族</v>
      </c>
      <c r="E431" s="5" t="str">
        <f>"玉林师范学院数学与应用数学"</f>
        <v>玉林师范学院数学与应用数学</v>
      </c>
      <c r="F431" s="5" t="str">
        <f t="shared" si="75"/>
        <v>本科学士</v>
      </c>
      <c r="G431" s="6" t="str">
        <f>"是"</f>
        <v>是</v>
      </c>
      <c r="H431" s="6" t="str">
        <f t="shared" si="70"/>
        <v>小学</v>
      </c>
      <c r="I431" s="6" t="str">
        <f t="shared" si="76"/>
        <v>103:数学</v>
      </c>
      <c r="J431" s="4" t="s">
        <v>13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s="4" customFormat="1" ht="26.1" customHeight="1">
      <c r="A432" s="3">
        <v>430</v>
      </c>
      <c r="B432" s="4" t="str">
        <f>"罗燕英"</f>
        <v>罗燕英</v>
      </c>
      <c r="C432" s="4" t="str">
        <f>"女        "</f>
        <v xml:space="preserve">女        </v>
      </c>
      <c r="D432" s="4" t="str">
        <f t="shared" si="71"/>
        <v>汉族</v>
      </c>
      <c r="E432" s="5" t="str">
        <f>"桂林航天工业学院飞行器制造工程"</f>
        <v>桂林航天工业学院飞行器制造工程</v>
      </c>
      <c r="F432" s="5" t="str">
        <f t="shared" si="75"/>
        <v>本科学士</v>
      </c>
      <c r="G432" s="6" t="str">
        <f>"不是"</f>
        <v>不是</v>
      </c>
      <c r="H432" s="6" t="str">
        <f t="shared" si="70"/>
        <v>小学</v>
      </c>
      <c r="I432" s="6" t="str">
        <f t="shared" si="76"/>
        <v>103:数学</v>
      </c>
      <c r="J432" s="4" t="s">
        <v>13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s="4" customFormat="1" ht="26.1" customHeight="1">
      <c r="A433" s="3">
        <v>431</v>
      </c>
      <c r="B433" s="4" t="str">
        <f>"梁彦姬"</f>
        <v>梁彦姬</v>
      </c>
      <c r="C433" s="4" t="str">
        <f>"女        "</f>
        <v xml:space="preserve">女        </v>
      </c>
      <c r="D433" s="4" t="str">
        <f t="shared" si="71"/>
        <v>汉族</v>
      </c>
      <c r="E433" s="5" t="str">
        <f>"广西师范大学会计学"</f>
        <v>广西师范大学会计学</v>
      </c>
      <c r="F433" s="5" t="str">
        <f t="shared" si="75"/>
        <v>本科学士</v>
      </c>
      <c r="G433" s="6" t="str">
        <f>"是"</f>
        <v>是</v>
      </c>
      <c r="H433" s="6" t="str">
        <f t="shared" si="70"/>
        <v>小学</v>
      </c>
      <c r="I433" s="6" t="str">
        <f t="shared" si="76"/>
        <v>103:数学</v>
      </c>
      <c r="J433" s="4" t="s">
        <v>13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s="4" customFormat="1" ht="26.1" customHeight="1">
      <c r="A434" s="3">
        <v>432</v>
      </c>
      <c r="B434" s="4" t="str">
        <f>"周春桦"</f>
        <v>周春桦</v>
      </c>
      <c r="C434" s="4" t="str">
        <f>"男        "</f>
        <v xml:space="preserve">男        </v>
      </c>
      <c r="D434" s="4" t="str">
        <f t="shared" si="71"/>
        <v>汉族</v>
      </c>
      <c r="E434" s="5" t="str">
        <f>"钦州学院车辆工程"</f>
        <v>钦州学院车辆工程</v>
      </c>
      <c r="F434" s="5" t="str">
        <f t="shared" si="75"/>
        <v>本科学士</v>
      </c>
      <c r="G434" s="6" t="str">
        <f>"不是"</f>
        <v>不是</v>
      </c>
      <c r="H434" s="6" t="str">
        <f t="shared" si="70"/>
        <v>小学</v>
      </c>
      <c r="I434" s="6" t="str">
        <f t="shared" si="76"/>
        <v>103:数学</v>
      </c>
      <c r="J434" s="4" t="s">
        <v>13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s="4" customFormat="1" ht="26.1" customHeight="1">
      <c r="A435" s="3">
        <v>433</v>
      </c>
      <c r="B435" s="4" t="str">
        <f>"刘雯"</f>
        <v>刘雯</v>
      </c>
      <c r="C435" s="4" t="str">
        <f t="shared" ref="C435:C498" si="77">"女        "</f>
        <v xml:space="preserve">女        </v>
      </c>
      <c r="D435" s="4" t="str">
        <f t="shared" si="71"/>
        <v>汉族</v>
      </c>
      <c r="E435" s="5" t="str">
        <f>"广西幼儿师范高等专科学校学前教育"</f>
        <v>广西幼儿师范高等专科学校学前教育</v>
      </c>
      <c r="F435" s="5" t="str">
        <f>"专科无学位"</f>
        <v>专科无学位</v>
      </c>
      <c r="G435" s="6" t="str">
        <f>"是"</f>
        <v>是</v>
      </c>
      <c r="H435" s="6" t="str">
        <f t="shared" si="70"/>
        <v>小学</v>
      </c>
      <c r="I435" s="6" t="str">
        <f t="shared" si="76"/>
        <v>103:数学</v>
      </c>
      <c r="J435" s="4" t="s">
        <v>13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s="4" customFormat="1" ht="26.1" customHeight="1">
      <c r="A436" s="3">
        <v>434</v>
      </c>
      <c r="B436" s="4" t="str">
        <f>"宁雪薇"</f>
        <v>宁雪薇</v>
      </c>
      <c r="C436" s="4" t="str">
        <f t="shared" si="77"/>
        <v xml:space="preserve">女        </v>
      </c>
      <c r="D436" s="4" t="str">
        <f t="shared" si="71"/>
        <v>汉族</v>
      </c>
      <c r="E436" s="5" t="str">
        <f>"广西科技大学鹿山学院财务管理"</f>
        <v>广西科技大学鹿山学院财务管理</v>
      </c>
      <c r="F436" s="5" t="str">
        <f>"本科学士"</f>
        <v>本科学士</v>
      </c>
      <c r="G436" s="6" t="str">
        <f>"不是"</f>
        <v>不是</v>
      </c>
      <c r="H436" s="6" t="str">
        <f t="shared" si="70"/>
        <v>小学</v>
      </c>
      <c r="I436" s="6" t="str">
        <f t="shared" si="76"/>
        <v>103:数学</v>
      </c>
      <c r="J436" s="4" t="s">
        <v>13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s="4" customFormat="1" ht="26.1" customHeight="1">
      <c r="A437" s="3">
        <v>435</v>
      </c>
      <c r="B437" s="4" t="str">
        <f>"钟玉雯"</f>
        <v>钟玉雯</v>
      </c>
      <c r="C437" s="4" t="str">
        <f t="shared" si="77"/>
        <v xml:space="preserve">女        </v>
      </c>
      <c r="D437" s="4" t="str">
        <f t="shared" si="71"/>
        <v>汉族</v>
      </c>
      <c r="E437" s="5" t="str">
        <f>"广西科技师范学院数学教育"</f>
        <v>广西科技师范学院数学教育</v>
      </c>
      <c r="F437" s="5" t="str">
        <f>"专科无学位"</f>
        <v>专科无学位</v>
      </c>
      <c r="G437" s="6" t="str">
        <f>"是"</f>
        <v>是</v>
      </c>
      <c r="H437" s="6" t="str">
        <f t="shared" si="70"/>
        <v>小学</v>
      </c>
      <c r="I437" s="6" t="str">
        <f t="shared" si="76"/>
        <v>103:数学</v>
      </c>
      <c r="J437" s="4" t="s">
        <v>13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s="4" customFormat="1" ht="26.1" customHeight="1">
      <c r="A438" s="3">
        <v>436</v>
      </c>
      <c r="B438" s="4" t="str">
        <f>"刘媛婷"</f>
        <v>刘媛婷</v>
      </c>
      <c r="C438" s="4" t="str">
        <f t="shared" si="77"/>
        <v xml:space="preserve">女        </v>
      </c>
      <c r="D438" s="4" t="str">
        <f t="shared" si="71"/>
        <v>汉族</v>
      </c>
      <c r="E438" s="5" t="str">
        <f>"玉林师范学院小学教育"</f>
        <v>玉林师范学院小学教育</v>
      </c>
      <c r="F438" s="5" t="str">
        <f t="shared" ref="F438:F445" si="78">"本科学士"</f>
        <v>本科学士</v>
      </c>
      <c r="G438" s="6" t="str">
        <f>"是"</f>
        <v>是</v>
      </c>
      <c r="H438" s="6" t="str">
        <f t="shared" si="70"/>
        <v>小学</v>
      </c>
      <c r="I438" s="6" t="str">
        <f t="shared" si="76"/>
        <v>103:数学</v>
      </c>
      <c r="J438" s="4" t="s">
        <v>13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s="4" customFormat="1" ht="26.1" customHeight="1">
      <c r="A439" s="3">
        <v>437</v>
      </c>
      <c r="B439" s="4" t="str">
        <f>"黎紫薇"</f>
        <v>黎紫薇</v>
      </c>
      <c r="C439" s="4" t="str">
        <f t="shared" si="77"/>
        <v xml:space="preserve">女        </v>
      </c>
      <c r="D439" s="4" t="str">
        <f t="shared" si="71"/>
        <v>汉族</v>
      </c>
      <c r="E439" s="5" t="str">
        <f>"玉林师范学院小学教育"</f>
        <v>玉林师范学院小学教育</v>
      </c>
      <c r="F439" s="5" t="str">
        <f t="shared" si="78"/>
        <v>本科学士</v>
      </c>
      <c r="G439" s="6" t="str">
        <f>"是"</f>
        <v>是</v>
      </c>
      <c r="H439" s="6" t="str">
        <f t="shared" si="70"/>
        <v>小学</v>
      </c>
      <c r="I439" s="6" t="str">
        <f t="shared" si="76"/>
        <v>103:数学</v>
      </c>
      <c r="J439" s="4" t="s">
        <v>13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s="4" customFormat="1" ht="26.1" customHeight="1">
      <c r="A440" s="3">
        <v>438</v>
      </c>
      <c r="B440" s="4" t="str">
        <f>"邓雪丹"</f>
        <v>邓雪丹</v>
      </c>
      <c r="C440" s="4" t="str">
        <f t="shared" si="77"/>
        <v xml:space="preserve">女        </v>
      </c>
      <c r="D440" s="4" t="str">
        <f t="shared" si="71"/>
        <v>汉族</v>
      </c>
      <c r="E440" s="5" t="str">
        <f>"广西财经学院广告学"</f>
        <v>广西财经学院广告学</v>
      </c>
      <c r="F440" s="5" t="str">
        <f t="shared" si="78"/>
        <v>本科学士</v>
      </c>
      <c r="G440" s="6" t="str">
        <f>"不是"</f>
        <v>不是</v>
      </c>
      <c r="H440" s="6" t="str">
        <f t="shared" si="70"/>
        <v>小学</v>
      </c>
      <c r="I440" s="6" t="str">
        <f t="shared" si="76"/>
        <v>103:数学</v>
      </c>
      <c r="J440" s="4" t="s">
        <v>13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s="4" customFormat="1" ht="26.1" customHeight="1">
      <c r="A441" s="3">
        <v>439</v>
      </c>
      <c r="B441" s="4" t="str">
        <f>"陆思静"</f>
        <v>陆思静</v>
      </c>
      <c r="C441" s="4" t="str">
        <f t="shared" si="77"/>
        <v xml:space="preserve">女        </v>
      </c>
      <c r="D441" s="4" t="str">
        <f>"壮族"</f>
        <v>壮族</v>
      </c>
      <c r="E441" s="5" t="str">
        <f>"玉林师范学院应用化学"</f>
        <v>玉林师范学院应用化学</v>
      </c>
      <c r="F441" s="5" t="str">
        <f t="shared" si="78"/>
        <v>本科学士</v>
      </c>
      <c r="G441" s="6" t="str">
        <f>"不是"</f>
        <v>不是</v>
      </c>
      <c r="H441" s="6" t="str">
        <f t="shared" si="70"/>
        <v>小学</v>
      </c>
      <c r="I441" s="6" t="str">
        <f t="shared" si="76"/>
        <v>103:数学</v>
      </c>
      <c r="J441" s="4" t="s">
        <v>13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s="4" customFormat="1" ht="26.1" customHeight="1">
      <c r="A442" s="3">
        <v>440</v>
      </c>
      <c r="B442" s="4" t="str">
        <f>"周玉秀"</f>
        <v>周玉秀</v>
      </c>
      <c r="C442" s="4" t="str">
        <f t="shared" si="77"/>
        <v xml:space="preserve">女        </v>
      </c>
      <c r="D442" s="4" t="str">
        <f t="shared" ref="D442:D456" si="79">"汉族"</f>
        <v>汉族</v>
      </c>
      <c r="E442" s="5" t="str">
        <f>"广西大学计算机与电子信息学院电子商务"</f>
        <v>广西大学计算机与电子信息学院电子商务</v>
      </c>
      <c r="F442" s="5" t="str">
        <f t="shared" si="78"/>
        <v>本科学士</v>
      </c>
      <c r="G442" s="6" t="str">
        <f>"不是"</f>
        <v>不是</v>
      </c>
      <c r="H442" s="6" t="str">
        <f t="shared" si="70"/>
        <v>小学</v>
      </c>
      <c r="I442" s="6" t="str">
        <f t="shared" si="76"/>
        <v>103:数学</v>
      </c>
      <c r="J442" s="4" t="s">
        <v>13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s="4" customFormat="1" ht="26.1" customHeight="1">
      <c r="A443" s="3">
        <v>441</v>
      </c>
      <c r="B443" s="4" t="str">
        <f>"罗金燕"</f>
        <v>罗金燕</v>
      </c>
      <c r="C443" s="4" t="str">
        <f t="shared" si="77"/>
        <v xml:space="preserve">女        </v>
      </c>
      <c r="D443" s="4" t="str">
        <f t="shared" si="79"/>
        <v>汉族</v>
      </c>
      <c r="E443" s="5" t="str">
        <f>"广西玉林师范学院教育学"</f>
        <v>广西玉林师范学院教育学</v>
      </c>
      <c r="F443" s="5" t="str">
        <f t="shared" si="78"/>
        <v>本科学士</v>
      </c>
      <c r="G443" s="6" t="str">
        <f t="shared" ref="G443:G450" si="80">"是"</f>
        <v>是</v>
      </c>
      <c r="H443" s="6" t="str">
        <f t="shared" si="70"/>
        <v>小学</v>
      </c>
      <c r="I443" s="6" t="str">
        <f t="shared" si="76"/>
        <v>103:数学</v>
      </c>
      <c r="J443" s="4" t="s">
        <v>13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s="4" customFormat="1" ht="26.1" customHeight="1">
      <c r="A444" s="3">
        <v>442</v>
      </c>
      <c r="B444" s="4" t="str">
        <f>"冯洁"</f>
        <v>冯洁</v>
      </c>
      <c r="C444" s="4" t="str">
        <f t="shared" si="77"/>
        <v xml:space="preserve">女        </v>
      </c>
      <c r="D444" s="4" t="str">
        <f t="shared" si="79"/>
        <v>汉族</v>
      </c>
      <c r="E444" s="5" t="str">
        <f>"河池学院小学教育"</f>
        <v>河池学院小学教育</v>
      </c>
      <c r="F444" s="5" t="str">
        <f t="shared" si="78"/>
        <v>本科学士</v>
      </c>
      <c r="G444" s="6" t="str">
        <f t="shared" si="80"/>
        <v>是</v>
      </c>
      <c r="H444" s="6" t="str">
        <f t="shared" si="70"/>
        <v>小学</v>
      </c>
      <c r="I444" s="6" t="str">
        <f t="shared" si="76"/>
        <v>103:数学</v>
      </c>
      <c r="J444" s="4" t="s">
        <v>13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s="4" customFormat="1" ht="26.1" customHeight="1">
      <c r="A445" s="3">
        <v>443</v>
      </c>
      <c r="B445" s="4" t="str">
        <f>"黎明贤"</f>
        <v>黎明贤</v>
      </c>
      <c r="C445" s="4" t="str">
        <f t="shared" si="77"/>
        <v xml:space="preserve">女        </v>
      </c>
      <c r="D445" s="4" t="str">
        <f t="shared" si="79"/>
        <v>汉族</v>
      </c>
      <c r="E445" s="5" t="str">
        <f>"广西师范学院师园学院小学教育"</f>
        <v>广西师范学院师园学院小学教育</v>
      </c>
      <c r="F445" s="5" t="str">
        <f t="shared" si="78"/>
        <v>本科学士</v>
      </c>
      <c r="G445" s="6" t="str">
        <f t="shared" si="80"/>
        <v>是</v>
      </c>
      <c r="H445" s="6" t="str">
        <f t="shared" si="70"/>
        <v>小学</v>
      </c>
      <c r="I445" s="6" t="str">
        <f t="shared" si="76"/>
        <v>103:数学</v>
      </c>
      <c r="J445" s="4" t="s">
        <v>13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s="4" customFormat="1" ht="26.1" customHeight="1">
      <c r="A446" s="3">
        <v>444</v>
      </c>
      <c r="B446" s="4" t="str">
        <f>"王露瑶"</f>
        <v>王露瑶</v>
      </c>
      <c r="C446" s="4" t="str">
        <f t="shared" si="77"/>
        <v xml:space="preserve">女        </v>
      </c>
      <c r="D446" s="4" t="str">
        <f t="shared" si="79"/>
        <v>汉族</v>
      </c>
      <c r="E446" s="5" t="str">
        <f>"桂林师范高等专科学校学前教育"</f>
        <v>桂林师范高等专科学校学前教育</v>
      </c>
      <c r="F446" s="5" t="str">
        <f>"专科无学位"</f>
        <v>专科无学位</v>
      </c>
      <c r="G446" s="6" t="str">
        <f t="shared" si="80"/>
        <v>是</v>
      </c>
      <c r="H446" s="6" t="str">
        <f t="shared" si="70"/>
        <v>小学</v>
      </c>
      <c r="I446" s="6" t="str">
        <f t="shared" si="76"/>
        <v>103:数学</v>
      </c>
      <c r="J446" s="4" t="s">
        <v>13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s="4" customFormat="1" ht="26.1" customHeight="1">
      <c r="A447" s="3">
        <v>445</v>
      </c>
      <c r="B447" s="4" t="str">
        <f>"黎民君"</f>
        <v>黎民君</v>
      </c>
      <c r="C447" s="4" t="str">
        <f t="shared" si="77"/>
        <v xml:space="preserve">女        </v>
      </c>
      <c r="D447" s="4" t="str">
        <f t="shared" si="79"/>
        <v>汉族</v>
      </c>
      <c r="E447" s="5" t="str">
        <f>"玉林师范学院小学教育"</f>
        <v>玉林师范学院小学教育</v>
      </c>
      <c r="F447" s="5" t="str">
        <f>"本科学士"</f>
        <v>本科学士</v>
      </c>
      <c r="G447" s="6" t="str">
        <f t="shared" si="80"/>
        <v>是</v>
      </c>
      <c r="H447" s="6" t="str">
        <f t="shared" si="70"/>
        <v>小学</v>
      </c>
      <c r="I447" s="6" t="str">
        <f t="shared" si="76"/>
        <v>103:数学</v>
      </c>
      <c r="J447" s="4" t="s">
        <v>13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s="4" customFormat="1" ht="26.1" customHeight="1">
      <c r="A448" s="3">
        <v>446</v>
      </c>
      <c r="B448" s="4" t="str">
        <f>"谭烈颖"</f>
        <v>谭烈颖</v>
      </c>
      <c r="C448" s="4" t="str">
        <f t="shared" si="77"/>
        <v xml:space="preserve">女        </v>
      </c>
      <c r="D448" s="4" t="str">
        <f t="shared" si="79"/>
        <v>汉族</v>
      </c>
      <c r="E448" s="5" t="str">
        <f>"广西教育学院初等教育"</f>
        <v>广西教育学院初等教育</v>
      </c>
      <c r="F448" s="5" t="str">
        <f>"专科无学位"</f>
        <v>专科无学位</v>
      </c>
      <c r="G448" s="6" t="str">
        <f t="shared" si="80"/>
        <v>是</v>
      </c>
      <c r="H448" s="6" t="str">
        <f t="shared" si="70"/>
        <v>小学</v>
      </c>
      <c r="I448" s="6" t="str">
        <f t="shared" si="76"/>
        <v>103:数学</v>
      </c>
      <c r="J448" s="4" t="s">
        <v>13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s="4" customFormat="1" ht="26.1" customHeight="1">
      <c r="A449" s="3">
        <v>447</v>
      </c>
      <c r="B449" s="4" t="str">
        <f>"池上欣"</f>
        <v>池上欣</v>
      </c>
      <c r="C449" s="4" t="str">
        <f t="shared" si="77"/>
        <v xml:space="preserve">女        </v>
      </c>
      <c r="D449" s="4" t="str">
        <f t="shared" si="79"/>
        <v>汉族</v>
      </c>
      <c r="E449" s="5" t="str">
        <f>"玉林师范学院教育学"</f>
        <v>玉林师范学院教育学</v>
      </c>
      <c r="F449" s="5" t="str">
        <f>"本科学士"</f>
        <v>本科学士</v>
      </c>
      <c r="G449" s="6" t="str">
        <f t="shared" si="80"/>
        <v>是</v>
      </c>
      <c r="H449" s="6" t="str">
        <f t="shared" si="70"/>
        <v>小学</v>
      </c>
      <c r="I449" s="6" t="str">
        <f t="shared" si="76"/>
        <v>103:数学</v>
      </c>
      <c r="J449" s="4" t="s">
        <v>13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s="4" customFormat="1" ht="26.1" customHeight="1">
      <c r="A450" s="3">
        <v>448</v>
      </c>
      <c r="B450" s="4" t="str">
        <f>"梁晓丹"</f>
        <v>梁晓丹</v>
      </c>
      <c r="C450" s="4" t="str">
        <f t="shared" si="77"/>
        <v xml:space="preserve">女        </v>
      </c>
      <c r="D450" s="4" t="str">
        <f t="shared" si="79"/>
        <v>汉族</v>
      </c>
      <c r="E450" s="5" t="str">
        <f>"河池学院学前教育"</f>
        <v>河池学院学前教育</v>
      </c>
      <c r="F450" s="5" t="str">
        <f>"专科无学位"</f>
        <v>专科无学位</v>
      </c>
      <c r="G450" s="6" t="str">
        <f t="shared" si="80"/>
        <v>是</v>
      </c>
      <c r="H450" s="6" t="str">
        <f t="shared" si="70"/>
        <v>小学</v>
      </c>
      <c r="I450" s="6" t="str">
        <f t="shared" si="76"/>
        <v>103:数学</v>
      </c>
      <c r="J450" s="4" t="s">
        <v>13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s="4" customFormat="1" ht="26.1" customHeight="1">
      <c r="A451" s="3">
        <v>449</v>
      </c>
      <c r="B451" s="4" t="str">
        <f>"杨槟华"</f>
        <v>杨槟华</v>
      </c>
      <c r="C451" s="4" t="str">
        <f t="shared" si="77"/>
        <v xml:space="preserve">女        </v>
      </c>
      <c r="D451" s="4" t="str">
        <f t="shared" si="79"/>
        <v>汉族</v>
      </c>
      <c r="E451" s="5" t="str">
        <f>"广西师范学院软件工程"</f>
        <v>广西师范学院软件工程</v>
      </c>
      <c r="F451" s="5" t="str">
        <f>"本科学士"</f>
        <v>本科学士</v>
      </c>
      <c r="G451" s="6" t="str">
        <f>"不是"</f>
        <v>不是</v>
      </c>
      <c r="H451" s="6" t="str">
        <f t="shared" si="70"/>
        <v>小学</v>
      </c>
      <c r="I451" s="6" t="str">
        <f t="shared" si="76"/>
        <v>103:数学</v>
      </c>
      <c r="J451" s="4" t="s">
        <v>13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s="4" customFormat="1" ht="26.1" customHeight="1">
      <c r="A452" s="3">
        <v>450</v>
      </c>
      <c r="B452" s="4" t="str">
        <f>"林玲"</f>
        <v>林玲</v>
      </c>
      <c r="C452" s="4" t="str">
        <f t="shared" si="77"/>
        <v xml:space="preserve">女        </v>
      </c>
      <c r="D452" s="4" t="str">
        <f t="shared" si="79"/>
        <v>汉族</v>
      </c>
      <c r="E452" s="5" t="str">
        <f>"梧州学院学前教育"</f>
        <v>梧州学院学前教育</v>
      </c>
      <c r="F452" s="5" t="str">
        <f>"专科无学位"</f>
        <v>专科无学位</v>
      </c>
      <c r="G452" s="6" t="str">
        <f>"是"</f>
        <v>是</v>
      </c>
      <c r="H452" s="6" t="str">
        <f t="shared" si="70"/>
        <v>小学</v>
      </c>
      <c r="I452" s="6" t="str">
        <f t="shared" si="76"/>
        <v>103:数学</v>
      </c>
      <c r="J452" s="4" t="s">
        <v>13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s="4" customFormat="1" ht="26.1" customHeight="1">
      <c r="A453" s="3">
        <v>451</v>
      </c>
      <c r="B453" s="4" t="str">
        <f>"陈慕连"</f>
        <v>陈慕连</v>
      </c>
      <c r="C453" s="4" t="str">
        <f t="shared" si="77"/>
        <v xml:space="preserve">女        </v>
      </c>
      <c r="D453" s="4" t="str">
        <f t="shared" si="79"/>
        <v>汉族</v>
      </c>
      <c r="E453" s="5" t="str">
        <f>"广西教育学院现代教育技术"</f>
        <v>广西教育学院现代教育技术</v>
      </c>
      <c r="F453" s="5" t="str">
        <f>"专科无学位"</f>
        <v>专科无学位</v>
      </c>
      <c r="G453" s="6" t="str">
        <f>"是"</f>
        <v>是</v>
      </c>
      <c r="H453" s="6" t="str">
        <f t="shared" si="70"/>
        <v>小学</v>
      </c>
      <c r="I453" s="6" t="str">
        <f t="shared" si="76"/>
        <v>103:数学</v>
      </c>
      <c r="J453" s="4" t="s">
        <v>13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s="4" customFormat="1" ht="26.1" customHeight="1">
      <c r="A454" s="3">
        <v>452</v>
      </c>
      <c r="B454" s="4" t="str">
        <f>"张绍艳"</f>
        <v>张绍艳</v>
      </c>
      <c r="C454" s="4" t="str">
        <f t="shared" si="77"/>
        <v xml:space="preserve">女        </v>
      </c>
      <c r="D454" s="4" t="str">
        <f t="shared" si="79"/>
        <v>汉族</v>
      </c>
      <c r="E454" s="5" t="str">
        <f>"钦州学院数学与应用数学"</f>
        <v>钦州学院数学与应用数学</v>
      </c>
      <c r="F454" s="5" t="str">
        <f>"本科学士"</f>
        <v>本科学士</v>
      </c>
      <c r="G454" s="6" t="str">
        <f>"是"</f>
        <v>是</v>
      </c>
      <c r="H454" s="6" t="str">
        <f t="shared" si="70"/>
        <v>小学</v>
      </c>
      <c r="I454" s="6" t="str">
        <f t="shared" si="76"/>
        <v>103:数学</v>
      </c>
      <c r="J454" s="4" t="s">
        <v>13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s="4" customFormat="1" ht="26.1" customHeight="1">
      <c r="A455" s="3">
        <v>453</v>
      </c>
      <c r="B455" s="4" t="str">
        <f>"周翠花"</f>
        <v>周翠花</v>
      </c>
      <c r="C455" s="4" t="str">
        <f t="shared" si="77"/>
        <v xml:space="preserve">女        </v>
      </c>
      <c r="D455" s="4" t="str">
        <f t="shared" si="79"/>
        <v>汉族</v>
      </c>
      <c r="E455" s="5" t="str">
        <f>"广西科技师范学院数学教育"</f>
        <v>广西科技师范学院数学教育</v>
      </c>
      <c r="F455" s="5" t="str">
        <f>"专科无学位"</f>
        <v>专科无学位</v>
      </c>
      <c r="G455" s="6" t="str">
        <f>"是"</f>
        <v>是</v>
      </c>
      <c r="H455" s="6" t="str">
        <f t="shared" si="70"/>
        <v>小学</v>
      </c>
      <c r="I455" s="6" t="str">
        <f t="shared" si="76"/>
        <v>103:数学</v>
      </c>
      <c r="J455" s="4" t="s">
        <v>13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s="4" customFormat="1" ht="26.1" customHeight="1">
      <c r="A456" s="3">
        <v>454</v>
      </c>
      <c r="B456" s="4" t="str">
        <f>"周玉艺"</f>
        <v>周玉艺</v>
      </c>
      <c r="C456" s="4" t="str">
        <f t="shared" si="77"/>
        <v xml:space="preserve">女        </v>
      </c>
      <c r="D456" s="4" t="str">
        <f t="shared" si="79"/>
        <v>汉族</v>
      </c>
      <c r="E456" s="5" t="str">
        <f>"集美大学航海学院交通运输航海保障方向"</f>
        <v>集美大学航海学院交通运输航海保障方向</v>
      </c>
      <c r="F456" s="5" t="str">
        <f>"本科学士"</f>
        <v>本科学士</v>
      </c>
      <c r="G456" s="6" t="str">
        <f>"不是"</f>
        <v>不是</v>
      </c>
      <c r="H456" s="6" t="str">
        <f t="shared" si="70"/>
        <v>小学</v>
      </c>
      <c r="I456" s="6" t="str">
        <f t="shared" si="76"/>
        <v>103:数学</v>
      </c>
      <c r="J456" s="4" t="s">
        <v>13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s="4" customFormat="1" ht="26.1" customHeight="1">
      <c r="A457" s="3">
        <v>455</v>
      </c>
      <c r="B457" s="4" t="str">
        <f>"岑佳慧"</f>
        <v>岑佳慧</v>
      </c>
      <c r="C457" s="4" t="str">
        <f t="shared" si="77"/>
        <v xml:space="preserve">女        </v>
      </c>
      <c r="D457" s="4" t="str">
        <f>"壮族"</f>
        <v>壮族</v>
      </c>
      <c r="E457" s="5" t="str">
        <f>"玉林师范学院学前教育"</f>
        <v>玉林师范学院学前教育</v>
      </c>
      <c r="F457" s="5" t="str">
        <f>"本科学士"</f>
        <v>本科学士</v>
      </c>
      <c r="G457" s="6" t="str">
        <f>"是"</f>
        <v>是</v>
      </c>
      <c r="H457" s="6" t="str">
        <f t="shared" ref="H457:H520" si="81">"小学"</f>
        <v>小学</v>
      </c>
      <c r="I457" s="6" t="str">
        <f t="shared" si="76"/>
        <v>103:数学</v>
      </c>
      <c r="J457" s="4" t="s">
        <v>13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s="4" customFormat="1" ht="26.1" customHeight="1">
      <c r="A458" s="3">
        <v>456</v>
      </c>
      <c r="B458" s="4" t="str">
        <f>"卜家音"</f>
        <v>卜家音</v>
      </c>
      <c r="C458" s="4" t="str">
        <f t="shared" si="77"/>
        <v xml:space="preserve">女        </v>
      </c>
      <c r="D458" s="4" t="str">
        <f t="shared" ref="D458:D495" si="82">"汉族"</f>
        <v>汉族</v>
      </c>
      <c r="E458" s="5" t="str">
        <f>"桂林理工大学应用统计学"</f>
        <v>桂林理工大学应用统计学</v>
      </c>
      <c r="F458" s="5" t="str">
        <f>"本科学士"</f>
        <v>本科学士</v>
      </c>
      <c r="G458" s="6" t="str">
        <f>"不是"</f>
        <v>不是</v>
      </c>
      <c r="H458" s="6" t="str">
        <f t="shared" si="81"/>
        <v>小学</v>
      </c>
      <c r="I458" s="6" t="str">
        <f t="shared" si="76"/>
        <v>103:数学</v>
      </c>
      <c r="J458" s="4" t="s">
        <v>13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s="4" customFormat="1" ht="26.1" customHeight="1">
      <c r="A459" s="3">
        <v>457</v>
      </c>
      <c r="B459" s="4" t="str">
        <f>"梁舒焱"</f>
        <v>梁舒焱</v>
      </c>
      <c r="C459" s="4" t="str">
        <f t="shared" si="77"/>
        <v xml:space="preserve">女        </v>
      </c>
      <c r="D459" s="4" t="str">
        <f t="shared" si="82"/>
        <v>汉族</v>
      </c>
      <c r="E459" s="5" t="str">
        <f>"广西科技师范学院物理教育"</f>
        <v>广西科技师范学院物理教育</v>
      </c>
      <c r="F459" s="5" t="str">
        <f>"专科无学位"</f>
        <v>专科无学位</v>
      </c>
      <c r="G459" s="6" t="str">
        <f>"是"</f>
        <v>是</v>
      </c>
      <c r="H459" s="6" t="str">
        <f t="shared" si="81"/>
        <v>小学</v>
      </c>
      <c r="I459" s="6" t="str">
        <f t="shared" si="76"/>
        <v>103:数学</v>
      </c>
      <c r="J459" s="4" t="s">
        <v>13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s="4" customFormat="1" ht="26.1" customHeight="1">
      <c r="A460" s="3">
        <v>458</v>
      </c>
      <c r="B460" s="4" t="str">
        <f>"刘冰"</f>
        <v>刘冰</v>
      </c>
      <c r="C460" s="4" t="str">
        <f t="shared" si="77"/>
        <v xml:space="preserve">女        </v>
      </c>
      <c r="D460" s="4" t="str">
        <f t="shared" si="82"/>
        <v>汉族</v>
      </c>
      <c r="E460" s="5" t="str">
        <f>"广西师范学院应用统计学"</f>
        <v>广西师范学院应用统计学</v>
      </c>
      <c r="F460" s="5" t="str">
        <f>"本科学士"</f>
        <v>本科学士</v>
      </c>
      <c r="G460" s="6" t="str">
        <f>"不是"</f>
        <v>不是</v>
      </c>
      <c r="H460" s="6" t="str">
        <f t="shared" si="81"/>
        <v>小学</v>
      </c>
      <c r="I460" s="6" t="str">
        <f t="shared" si="76"/>
        <v>103:数学</v>
      </c>
      <c r="J460" s="4" t="s">
        <v>13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s="4" customFormat="1" ht="26.1" customHeight="1">
      <c r="A461" s="3">
        <v>459</v>
      </c>
      <c r="B461" s="4" t="str">
        <f>"杨敏敏"</f>
        <v>杨敏敏</v>
      </c>
      <c r="C461" s="4" t="str">
        <f t="shared" si="77"/>
        <v xml:space="preserve">女        </v>
      </c>
      <c r="D461" s="4" t="str">
        <f t="shared" si="82"/>
        <v>汉族</v>
      </c>
      <c r="E461" s="5" t="str">
        <f>"广西科技师范学院数学教育"</f>
        <v>广西科技师范学院数学教育</v>
      </c>
      <c r="F461" s="5" t="str">
        <f>"专科无学位"</f>
        <v>专科无学位</v>
      </c>
      <c r="G461" s="6" t="str">
        <f>"是"</f>
        <v>是</v>
      </c>
      <c r="H461" s="6" t="str">
        <f t="shared" si="81"/>
        <v>小学</v>
      </c>
      <c r="I461" s="6" t="str">
        <f t="shared" si="76"/>
        <v>103:数学</v>
      </c>
      <c r="J461" s="4" t="s">
        <v>13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s="4" customFormat="1" ht="26.1" customHeight="1">
      <c r="A462" s="3">
        <v>460</v>
      </c>
      <c r="B462" s="4" t="str">
        <f>"卢升宁"</f>
        <v>卢升宁</v>
      </c>
      <c r="C462" s="4" t="str">
        <f t="shared" si="77"/>
        <v xml:space="preserve">女        </v>
      </c>
      <c r="D462" s="4" t="str">
        <f t="shared" si="82"/>
        <v>汉族</v>
      </c>
      <c r="E462" s="5" t="str">
        <f>"广西师范大学漓江学院数学与应用数学"</f>
        <v>广西师范大学漓江学院数学与应用数学</v>
      </c>
      <c r="F462" s="5" t="str">
        <f>"本科学士"</f>
        <v>本科学士</v>
      </c>
      <c r="G462" s="6" t="str">
        <f>"是"</f>
        <v>是</v>
      </c>
      <c r="H462" s="6" t="str">
        <f t="shared" si="81"/>
        <v>小学</v>
      </c>
      <c r="I462" s="6" t="str">
        <f t="shared" si="76"/>
        <v>103:数学</v>
      </c>
      <c r="J462" s="4" t="s">
        <v>13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s="4" customFormat="1" ht="26.1" customHeight="1">
      <c r="A463" s="3">
        <v>461</v>
      </c>
      <c r="B463" s="4" t="str">
        <f>"冯秋茹"</f>
        <v>冯秋茹</v>
      </c>
      <c r="C463" s="4" t="str">
        <f t="shared" si="77"/>
        <v xml:space="preserve">女        </v>
      </c>
      <c r="D463" s="4" t="str">
        <f t="shared" si="82"/>
        <v>汉族</v>
      </c>
      <c r="E463" s="5" t="str">
        <f>"云南财经大学会展经济与管理"</f>
        <v>云南财经大学会展经济与管理</v>
      </c>
      <c r="F463" s="5" t="str">
        <f>"本科学士"</f>
        <v>本科学士</v>
      </c>
      <c r="G463" s="6" t="str">
        <f>"不是"</f>
        <v>不是</v>
      </c>
      <c r="H463" s="6" t="str">
        <f t="shared" si="81"/>
        <v>小学</v>
      </c>
      <c r="I463" s="6" t="str">
        <f t="shared" si="76"/>
        <v>103:数学</v>
      </c>
      <c r="J463" s="4" t="s">
        <v>13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s="4" customFormat="1" ht="26.1" customHeight="1">
      <c r="A464" s="3">
        <v>462</v>
      </c>
      <c r="B464" s="4" t="str">
        <f>"罗圆圆"</f>
        <v>罗圆圆</v>
      </c>
      <c r="C464" s="4" t="str">
        <f t="shared" si="77"/>
        <v xml:space="preserve">女        </v>
      </c>
      <c r="D464" s="4" t="str">
        <f t="shared" si="82"/>
        <v>汉族</v>
      </c>
      <c r="E464" s="5" t="str">
        <f>"广西大学行健文理学院英语"</f>
        <v>广西大学行健文理学院英语</v>
      </c>
      <c r="F464" s="5" t="str">
        <f>"本科学士"</f>
        <v>本科学士</v>
      </c>
      <c r="G464" s="6" t="str">
        <f>"不是"</f>
        <v>不是</v>
      </c>
      <c r="H464" s="6" t="str">
        <f t="shared" si="81"/>
        <v>小学</v>
      </c>
      <c r="I464" s="6" t="str">
        <f t="shared" ref="I464:I516" si="83">"104:英语"</f>
        <v>104:英语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s="4" customFormat="1" ht="26.1" customHeight="1">
      <c r="A465" s="3">
        <v>463</v>
      </c>
      <c r="B465" s="4" t="str">
        <f>"林才蕙"</f>
        <v>林才蕙</v>
      </c>
      <c r="C465" s="4" t="str">
        <f t="shared" si="77"/>
        <v xml:space="preserve">女        </v>
      </c>
      <c r="D465" s="4" t="str">
        <f t="shared" si="82"/>
        <v>汉族</v>
      </c>
      <c r="E465" s="5" t="str">
        <f>"广西百色学院英语教育"</f>
        <v>广西百色学院英语教育</v>
      </c>
      <c r="F465" s="5" t="str">
        <f>"专科无学位"</f>
        <v>专科无学位</v>
      </c>
      <c r="G465" s="6" t="str">
        <f t="shared" ref="G465:G472" si="84">"是"</f>
        <v>是</v>
      </c>
      <c r="H465" s="6" t="str">
        <f t="shared" si="81"/>
        <v>小学</v>
      </c>
      <c r="I465" s="6" t="str">
        <f t="shared" si="83"/>
        <v>104:英语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s="4" customFormat="1" ht="26.1" customHeight="1">
      <c r="A466" s="3">
        <v>464</v>
      </c>
      <c r="B466" s="4" t="str">
        <f>"黎璐珊"</f>
        <v>黎璐珊</v>
      </c>
      <c r="C466" s="4" t="str">
        <f t="shared" si="77"/>
        <v xml:space="preserve">女        </v>
      </c>
      <c r="D466" s="4" t="str">
        <f t="shared" si="82"/>
        <v>汉族</v>
      </c>
      <c r="E466" s="5" t="str">
        <f>"玉林师范学院英语"</f>
        <v>玉林师范学院英语</v>
      </c>
      <c r="F466" s="5" t="str">
        <f>"本科学士"</f>
        <v>本科学士</v>
      </c>
      <c r="G466" s="6" t="str">
        <f t="shared" si="84"/>
        <v>是</v>
      </c>
      <c r="H466" s="6" t="str">
        <f t="shared" si="81"/>
        <v>小学</v>
      </c>
      <c r="I466" s="6" t="str">
        <f t="shared" si="83"/>
        <v>104:英语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s="4" customFormat="1" ht="26.1" customHeight="1">
      <c r="A467" s="3">
        <v>465</v>
      </c>
      <c r="B467" s="4" t="str">
        <f>"梁春梅"</f>
        <v>梁春梅</v>
      </c>
      <c r="C467" s="4" t="str">
        <f t="shared" si="77"/>
        <v xml:space="preserve">女        </v>
      </c>
      <c r="D467" s="4" t="str">
        <f t="shared" si="82"/>
        <v>汉族</v>
      </c>
      <c r="E467" s="5" t="str">
        <f>"广西师范学院英语"</f>
        <v>广西师范学院英语</v>
      </c>
      <c r="F467" s="5" t="str">
        <f>"本科学士"</f>
        <v>本科学士</v>
      </c>
      <c r="G467" s="6" t="str">
        <f t="shared" si="84"/>
        <v>是</v>
      </c>
      <c r="H467" s="6" t="str">
        <f t="shared" si="81"/>
        <v>小学</v>
      </c>
      <c r="I467" s="6" t="str">
        <f t="shared" si="83"/>
        <v>104:英语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s="4" customFormat="1" ht="26.1" customHeight="1">
      <c r="A468" s="3">
        <v>466</v>
      </c>
      <c r="B468" s="4" t="str">
        <f>"黄静凤"</f>
        <v>黄静凤</v>
      </c>
      <c r="C468" s="4" t="str">
        <f t="shared" si="77"/>
        <v xml:space="preserve">女        </v>
      </c>
      <c r="D468" s="4" t="str">
        <f t="shared" si="82"/>
        <v>汉族</v>
      </c>
      <c r="E468" s="5" t="str">
        <f>"广西科技师范学院英语教育"</f>
        <v>广西科技师范学院英语教育</v>
      </c>
      <c r="F468" s="5" t="str">
        <f>"专科无学位"</f>
        <v>专科无学位</v>
      </c>
      <c r="G468" s="6" t="str">
        <f t="shared" si="84"/>
        <v>是</v>
      </c>
      <c r="H468" s="6" t="str">
        <f t="shared" si="81"/>
        <v>小学</v>
      </c>
      <c r="I468" s="6" t="str">
        <f t="shared" si="83"/>
        <v>104:英语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s="4" customFormat="1" ht="26.1" customHeight="1">
      <c r="A469" s="3">
        <v>467</v>
      </c>
      <c r="B469" s="4" t="str">
        <f>"周珊"</f>
        <v>周珊</v>
      </c>
      <c r="C469" s="4" t="str">
        <f t="shared" si="77"/>
        <v xml:space="preserve">女        </v>
      </c>
      <c r="D469" s="4" t="str">
        <f t="shared" si="82"/>
        <v>汉族</v>
      </c>
      <c r="E469" s="5" t="str">
        <f>"桂林师范高等专科学校英语教育"</f>
        <v>桂林师范高等专科学校英语教育</v>
      </c>
      <c r="F469" s="5" t="str">
        <f>"专科无学位"</f>
        <v>专科无学位</v>
      </c>
      <c r="G469" s="6" t="str">
        <f t="shared" si="84"/>
        <v>是</v>
      </c>
      <c r="H469" s="6" t="str">
        <f t="shared" si="81"/>
        <v>小学</v>
      </c>
      <c r="I469" s="6" t="str">
        <f t="shared" si="83"/>
        <v>104:英语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s="4" customFormat="1" ht="26.1" customHeight="1">
      <c r="A470" s="3">
        <v>468</v>
      </c>
      <c r="B470" s="4" t="str">
        <f>"罗丽芳"</f>
        <v>罗丽芳</v>
      </c>
      <c r="C470" s="4" t="str">
        <f t="shared" si="77"/>
        <v xml:space="preserve">女        </v>
      </c>
      <c r="D470" s="4" t="str">
        <f t="shared" si="82"/>
        <v>汉族</v>
      </c>
      <c r="E470" s="5" t="str">
        <f>"广西师范学院英语"</f>
        <v>广西师范学院英语</v>
      </c>
      <c r="F470" s="5" t="str">
        <f>"本科学士"</f>
        <v>本科学士</v>
      </c>
      <c r="G470" s="6" t="str">
        <f t="shared" si="84"/>
        <v>是</v>
      </c>
      <c r="H470" s="6" t="str">
        <f t="shared" si="81"/>
        <v>小学</v>
      </c>
      <c r="I470" s="6" t="str">
        <f t="shared" si="83"/>
        <v>104:英语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s="4" customFormat="1" ht="26.1" customHeight="1">
      <c r="A471" s="3">
        <v>469</v>
      </c>
      <c r="B471" s="4" t="str">
        <f>"梁春连"</f>
        <v>梁春连</v>
      </c>
      <c r="C471" s="4" t="str">
        <f t="shared" si="77"/>
        <v xml:space="preserve">女        </v>
      </c>
      <c r="D471" s="4" t="str">
        <f t="shared" si="82"/>
        <v>汉族</v>
      </c>
      <c r="E471" s="5" t="str">
        <f>"广西民族师范学院英语教育"</f>
        <v>广西民族师范学院英语教育</v>
      </c>
      <c r="F471" s="5" t="str">
        <f>"专科无学位"</f>
        <v>专科无学位</v>
      </c>
      <c r="G471" s="6" t="str">
        <f t="shared" si="84"/>
        <v>是</v>
      </c>
      <c r="H471" s="6" t="str">
        <f t="shared" si="81"/>
        <v>小学</v>
      </c>
      <c r="I471" s="6" t="str">
        <f t="shared" si="83"/>
        <v>104:英语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s="4" customFormat="1" ht="26.1" customHeight="1">
      <c r="A472" s="3">
        <v>470</v>
      </c>
      <c r="B472" s="4" t="str">
        <f>"李文莲"</f>
        <v>李文莲</v>
      </c>
      <c r="C472" s="4" t="str">
        <f t="shared" si="77"/>
        <v xml:space="preserve">女        </v>
      </c>
      <c r="D472" s="4" t="str">
        <f t="shared" si="82"/>
        <v>汉族</v>
      </c>
      <c r="E472" s="5" t="str">
        <f>"广西科技师范学院英语教育"</f>
        <v>广西科技师范学院英语教育</v>
      </c>
      <c r="F472" s="5" t="str">
        <f>"专科无学位"</f>
        <v>专科无学位</v>
      </c>
      <c r="G472" s="6" t="str">
        <f t="shared" si="84"/>
        <v>是</v>
      </c>
      <c r="H472" s="6" t="str">
        <f t="shared" si="81"/>
        <v>小学</v>
      </c>
      <c r="I472" s="6" t="str">
        <f t="shared" si="83"/>
        <v>104:英语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s="4" customFormat="1" ht="26.1" customHeight="1">
      <c r="A473" s="3">
        <v>471</v>
      </c>
      <c r="B473" s="4" t="str">
        <f>"张捷"</f>
        <v>张捷</v>
      </c>
      <c r="C473" s="4" t="str">
        <f t="shared" si="77"/>
        <v xml:space="preserve">女        </v>
      </c>
      <c r="D473" s="4" t="str">
        <f t="shared" si="82"/>
        <v>汉族</v>
      </c>
      <c r="E473" s="5" t="str">
        <f>"广西大学行健文理学院英语"</f>
        <v>广西大学行健文理学院英语</v>
      </c>
      <c r="F473" s="5" t="str">
        <f>"本科学士"</f>
        <v>本科学士</v>
      </c>
      <c r="G473" s="6" t="str">
        <f>"不是"</f>
        <v>不是</v>
      </c>
      <c r="H473" s="6" t="str">
        <f t="shared" si="81"/>
        <v>小学</v>
      </c>
      <c r="I473" s="6" t="str">
        <f t="shared" si="83"/>
        <v>104:英语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s="4" customFormat="1" ht="26.1" customHeight="1">
      <c r="A474" s="3">
        <v>472</v>
      </c>
      <c r="B474" s="4" t="str">
        <f>"周东兰"</f>
        <v>周东兰</v>
      </c>
      <c r="C474" s="4" t="str">
        <f t="shared" si="77"/>
        <v xml:space="preserve">女        </v>
      </c>
      <c r="D474" s="4" t="str">
        <f t="shared" si="82"/>
        <v>汉族</v>
      </c>
      <c r="E474" s="5" t="str">
        <f>"贺州学院小学教育英语"</f>
        <v>贺州学院小学教育英语</v>
      </c>
      <c r="F474" s="5" t="str">
        <f>"本科学士"</f>
        <v>本科学士</v>
      </c>
      <c r="G474" s="6" t="str">
        <f t="shared" ref="G474:G479" si="85">"是"</f>
        <v>是</v>
      </c>
      <c r="H474" s="6" t="str">
        <f t="shared" si="81"/>
        <v>小学</v>
      </c>
      <c r="I474" s="6" t="str">
        <f t="shared" si="83"/>
        <v>104:英语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s="4" customFormat="1" ht="26.1" customHeight="1">
      <c r="A475" s="3">
        <v>473</v>
      </c>
      <c r="B475" s="4" t="str">
        <f>"蒙思余"</f>
        <v>蒙思余</v>
      </c>
      <c r="C475" s="4" t="str">
        <f t="shared" si="77"/>
        <v xml:space="preserve">女        </v>
      </c>
      <c r="D475" s="4" t="str">
        <f t="shared" si="82"/>
        <v>汉族</v>
      </c>
      <c r="E475" s="5" t="str">
        <f>"广西师范学院小学教育英语方向"</f>
        <v>广西师范学院小学教育英语方向</v>
      </c>
      <c r="F475" s="5" t="str">
        <f>"本科学士"</f>
        <v>本科学士</v>
      </c>
      <c r="G475" s="6" t="str">
        <f t="shared" si="85"/>
        <v>是</v>
      </c>
      <c r="H475" s="6" t="str">
        <f t="shared" si="81"/>
        <v>小学</v>
      </c>
      <c r="I475" s="6" t="str">
        <f t="shared" si="83"/>
        <v>104:英语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s="4" customFormat="1" ht="26.1" customHeight="1">
      <c r="A476" s="3">
        <v>474</v>
      </c>
      <c r="B476" s="4" t="str">
        <f>"李清"</f>
        <v>李清</v>
      </c>
      <c r="C476" s="4" t="str">
        <f t="shared" si="77"/>
        <v xml:space="preserve">女        </v>
      </c>
      <c r="D476" s="4" t="str">
        <f t="shared" si="82"/>
        <v>汉族</v>
      </c>
      <c r="E476" s="5" t="str">
        <f>"广西师范学院英语"</f>
        <v>广西师范学院英语</v>
      </c>
      <c r="F476" s="5" t="str">
        <f>"本科学士"</f>
        <v>本科学士</v>
      </c>
      <c r="G476" s="6" t="str">
        <f t="shared" si="85"/>
        <v>是</v>
      </c>
      <c r="H476" s="6" t="str">
        <f t="shared" si="81"/>
        <v>小学</v>
      </c>
      <c r="I476" s="6" t="str">
        <f t="shared" si="83"/>
        <v>104:英语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s="4" customFormat="1" ht="26.1" customHeight="1">
      <c r="A477" s="3">
        <v>475</v>
      </c>
      <c r="B477" s="4" t="str">
        <f>"冯敏"</f>
        <v>冯敏</v>
      </c>
      <c r="C477" s="4" t="str">
        <f t="shared" si="77"/>
        <v xml:space="preserve">女        </v>
      </c>
      <c r="D477" s="4" t="str">
        <f t="shared" si="82"/>
        <v>汉族</v>
      </c>
      <c r="E477" s="5" t="str">
        <f>"广西师范学院师园学院英语"</f>
        <v>广西师范学院师园学院英语</v>
      </c>
      <c r="F477" s="5" t="str">
        <f>"本科学士"</f>
        <v>本科学士</v>
      </c>
      <c r="G477" s="6" t="str">
        <f t="shared" si="85"/>
        <v>是</v>
      </c>
      <c r="H477" s="6" t="str">
        <f t="shared" si="81"/>
        <v>小学</v>
      </c>
      <c r="I477" s="6" t="str">
        <f t="shared" si="83"/>
        <v>104:英语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s="4" customFormat="1" ht="26.1" customHeight="1">
      <c r="A478" s="3">
        <v>476</v>
      </c>
      <c r="B478" s="4" t="str">
        <f>"王海宁"</f>
        <v>王海宁</v>
      </c>
      <c r="C478" s="4" t="str">
        <f t="shared" si="77"/>
        <v xml:space="preserve">女        </v>
      </c>
      <c r="D478" s="4" t="str">
        <f t="shared" si="82"/>
        <v>汉族</v>
      </c>
      <c r="E478" s="5" t="str">
        <f>"桂林师范高等专科学校英语教育"</f>
        <v>桂林师范高等专科学校英语教育</v>
      </c>
      <c r="F478" s="5" t="str">
        <f>"专科无学位"</f>
        <v>专科无学位</v>
      </c>
      <c r="G478" s="6" t="str">
        <f t="shared" si="85"/>
        <v>是</v>
      </c>
      <c r="H478" s="6" t="str">
        <f t="shared" si="81"/>
        <v>小学</v>
      </c>
      <c r="I478" s="6" t="str">
        <f t="shared" si="83"/>
        <v>104:英语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s="4" customFormat="1" ht="26.1" customHeight="1">
      <c r="A479" s="3">
        <v>477</v>
      </c>
      <c r="B479" s="4" t="str">
        <f>"卢婷"</f>
        <v>卢婷</v>
      </c>
      <c r="C479" s="4" t="str">
        <f t="shared" si="77"/>
        <v xml:space="preserve">女        </v>
      </c>
      <c r="D479" s="4" t="str">
        <f t="shared" si="82"/>
        <v>汉族</v>
      </c>
      <c r="E479" s="5" t="str">
        <f>"柳州师范高等专科学校英语教育"</f>
        <v>柳州师范高等专科学校英语教育</v>
      </c>
      <c r="F479" s="5" t="str">
        <f>"专科无学位"</f>
        <v>专科无学位</v>
      </c>
      <c r="G479" s="6" t="str">
        <f t="shared" si="85"/>
        <v>是</v>
      </c>
      <c r="H479" s="6" t="str">
        <f t="shared" si="81"/>
        <v>小学</v>
      </c>
      <c r="I479" s="6" t="str">
        <f t="shared" si="83"/>
        <v>104:英语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s="4" customFormat="1" ht="26.1" customHeight="1">
      <c r="A480" s="3">
        <v>478</v>
      </c>
      <c r="B480" s="4" t="str">
        <f>"黄婉秋"</f>
        <v>黄婉秋</v>
      </c>
      <c r="C480" s="4" t="str">
        <f t="shared" si="77"/>
        <v xml:space="preserve">女        </v>
      </c>
      <c r="D480" s="4" t="str">
        <f t="shared" si="82"/>
        <v>汉族</v>
      </c>
      <c r="E480" s="5" t="str">
        <f>"广西师范大学漓江学院英语"</f>
        <v>广西师范大学漓江学院英语</v>
      </c>
      <c r="F480" s="5" t="str">
        <f>"本科学士"</f>
        <v>本科学士</v>
      </c>
      <c r="G480" s="6" t="str">
        <f>"不是"</f>
        <v>不是</v>
      </c>
      <c r="H480" s="6" t="str">
        <f t="shared" si="81"/>
        <v>小学</v>
      </c>
      <c r="I480" s="6" t="str">
        <f t="shared" si="83"/>
        <v>104:英语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s="4" customFormat="1" ht="26.1" customHeight="1">
      <c r="A481" s="3">
        <v>479</v>
      </c>
      <c r="B481" s="4" t="str">
        <f>"钟蓓"</f>
        <v>钟蓓</v>
      </c>
      <c r="C481" s="4" t="str">
        <f t="shared" si="77"/>
        <v xml:space="preserve">女        </v>
      </c>
      <c r="D481" s="4" t="str">
        <f t="shared" si="82"/>
        <v>汉族</v>
      </c>
      <c r="E481" s="5" t="str">
        <f>"重庆文理学院师范英语"</f>
        <v>重庆文理学院师范英语</v>
      </c>
      <c r="F481" s="5" t="str">
        <f>"本科学士"</f>
        <v>本科学士</v>
      </c>
      <c r="G481" s="6" t="str">
        <f>"是"</f>
        <v>是</v>
      </c>
      <c r="H481" s="6" t="str">
        <f t="shared" si="81"/>
        <v>小学</v>
      </c>
      <c r="I481" s="6" t="str">
        <f t="shared" si="83"/>
        <v>104:英语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s="4" customFormat="1" ht="26.1" customHeight="1">
      <c r="A482" s="3">
        <v>480</v>
      </c>
      <c r="B482" s="4" t="str">
        <f>"丘李清"</f>
        <v>丘李清</v>
      </c>
      <c r="C482" s="4" t="str">
        <f t="shared" si="77"/>
        <v xml:space="preserve">女        </v>
      </c>
      <c r="D482" s="4" t="str">
        <f t="shared" si="82"/>
        <v>汉族</v>
      </c>
      <c r="E482" s="5" t="str">
        <f>"海南省琼州学院英语教育"</f>
        <v>海南省琼州学院英语教育</v>
      </c>
      <c r="F482" s="5" t="str">
        <f>"专科无学位"</f>
        <v>专科无学位</v>
      </c>
      <c r="G482" s="6" t="str">
        <f>"是"</f>
        <v>是</v>
      </c>
      <c r="H482" s="6" t="str">
        <f t="shared" si="81"/>
        <v>小学</v>
      </c>
      <c r="I482" s="6" t="str">
        <f t="shared" si="83"/>
        <v>104:英语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s="4" customFormat="1" ht="26.1" customHeight="1">
      <c r="A483" s="3">
        <v>481</v>
      </c>
      <c r="B483" s="4" t="str">
        <f>"罗小媛"</f>
        <v>罗小媛</v>
      </c>
      <c r="C483" s="4" t="str">
        <f t="shared" si="77"/>
        <v xml:space="preserve">女        </v>
      </c>
      <c r="D483" s="4" t="str">
        <f t="shared" si="82"/>
        <v>汉族</v>
      </c>
      <c r="E483" s="5" t="str">
        <f>"广西教育学院英语教育"</f>
        <v>广西教育学院英语教育</v>
      </c>
      <c r="F483" s="5" t="str">
        <f>"专科无学位"</f>
        <v>专科无学位</v>
      </c>
      <c r="G483" s="6" t="str">
        <f>"是"</f>
        <v>是</v>
      </c>
      <c r="H483" s="6" t="str">
        <f t="shared" si="81"/>
        <v>小学</v>
      </c>
      <c r="I483" s="6" t="str">
        <f t="shared" si="83"/>
        <v>104:英语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s="4" customFormat="1" ht="26.1" customHeight="1">
      <c r="A484" s="3">
        <v>482</v>
      </c>
      <c r="B484" s="4" t="str">
        <f>"姚梦轩"</f>
        <v>姚梦轩</v>
      </c>
      <c r="C484" s="4" t="str">
        <f t="shared" si="77"/>
        <v xml:space="preserve">女        </v>
      </c>
      <c r="D484" s="4" t="str">
        <f t="shared" si="82"/>
        <v>汉族</v>
      </c>
      <c r="E484" s="5" t="str">
        <f>"广西民族大学相思湖学院英语"</f>
        <v>广西民族大学相思湖学院英语</v>
      </c>
      <c r="F484" s="5" t="str">
        <f>"本科学士"</f>
        <v>本科学士</v>
      </c>
      <c r="G484" s="6" t="str">
        <f>"不是"</f>
        <v>不是</v>
      </c>
      <c r="H484" s="6" t="str">
        <f t="shared" si="81"/>
        <v>小学</v>
      </c>
      <c r="I484" s="6" t="str">
        <f t="shared" si="83"/>
        <v>104:英语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s="4" customFormat="1" ht="26.1" customHeight="1">
      <c r="A485" s="3">
        <v>483</v>
      </c>
      <c r="B485" s="4" t="str">
        <f>"陈琼玲"</f>
        <v>陈琼玲</v>
      </c>
      <c r="C485" s="4" t="str">
        <f t="shared" si="77"/>
        <v xml:space="preserve">女        </v>
      </c>
      <c r="D485" s="4" t="str">
        <f t="shared" si="82"/>
        <v>汉族</v>
      </c>
      <c r="E485" s="5" t="str">
        <f>"玉林师范学院英语"</f>
        <v>玉林师范学院英语</v>
      </c>
      <c r="F485" s="5" t="str">
        <f>"本科学士"</f>
        <v>本科学士</v>
      </c>
      <c r="G485" s="6" t="str">
        <f>"是"</f>
        <v>是</v>
      </c>
      <c r="H485" s="6" t="str">
        <f t="shared" si="81"/>
        <v>小学</v>
      </c>
      <c r="I485" s="6" t="str">
        <f t="shared" si="83"/>
        <v>104:英语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s="4" customFormat="1" ht="26.1" customHeight="1">
      <c r="A486" s="3">
        <v>484</v>
      </c>
      <c r="B486" s="4" t="str">
        <f>"谢静凤"</f>
        <v>谢静凤</v>
      </c>
      <c r="C486" s="4" t="str">
        <f t="shared" si="77"/>
        <v xml:space="preserve">女        </v>
      </c>
      <c r="D486" s="4" t="str">
        <f t="shared" si="82"/>
        <v>汉族</v>
      </c>
      <c r="E486" s="5" t="str">
        <f>"桂林师范高等专科学校英语教育"</f>
        <v>桂林师范高等专科学校英语教育</v>
      </c>
      <c r="F486" s="5" t="str">
        <f>"专科无学位"</f>
        <v>专科无学位</v>
      </c>
      <c r="G486" s="6" t="str">
        <f>"是"</f>
        <v>是</v>
      </c>
      <c r="H486" s="6" t="str">
        <f t="shared" si="81"/>
        <v>小学</v>
      </c>
      <c r="I486" s="6" t="str">
        <f t="shared" si="83"/>
        <v>104:英语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s="4" customFormat="1" ht="26.1" customHeight="1">
      <c r="A487" s="3">
        <v>485</v>
      </c>
      <c r="B487" s="4" t="str">
        <f>"王冬梅"</f>
        <v>王冬梅</v>
      </c>
      <c r="C487" s="4" t="str">
        <f t="shared" si="77"/>
        <v xml:space="preserve">女        </v>
      </c>
      <c r="D487" s="4" t="str">
        <f t="shared" si="82"/>
        <v>汉族</v>
      </c>
      <c r="E487" s="5" t="str">
        <f>"玉林师范学院英语"</f>
        <v>玉林师范学院英语</v>
      </c>
      <c r="F487" s="5" t="str">
        <f t="shared" ref="F487:F492" si="86">"本科学士"</f>
        <v>本科学士</v>
      </c>
      <c r="G487" s="6" t="str">
        <f>"不是"</f>
        <v>不是</v>
      </c>
      <c r="H487" s="6" t="str">
        <f t="shared" si="81"/>
        <v>小学</v>
      </c>
      <c r="I487" s="6" t="str">
        <f t="shared" si="83"/>
        <v>104:英语</v>
      </c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s="4" customFormat="1" ht="26.1" customHeight="1">
      <c r="A488" s="3">
        <v>486</v>
      </c>
      <c r="B488" s="4" t="str">
        <f>"刘恒池"</f>
        <v>刘恒池</v>
      </c>
      <c r="C488" s="4" t="str">
        <f t="shared" si="77"/>
        <v xml:space="preserve">女        </v>
      </c>
      <c r="D488" s="4" t="str">
        <f t="shared" si="82"/>
        <v>汉族</v>
      </c>
      <c r="E488" s="5" t="str">
        <f>"梧州学院小学教育英语方向"</f>
        <v>梧州学院小学教育英语方向</v>
      </c>
      <c r="F488" s="5" t="str">
        <f t="shared" si="86"/>
        <v>本科学士</v>
      </c>
      <c r="G488" s="6" t="str">
        <f>"是"</f>
        <v>是</v>
      </c>
      <c r="H488" s="6" t="str">
        <f t="shared" si="81"/>
        <v>小学</v>
      </c>
      <c r="I488" s="6" t="str">
        <f t="shared" si="83"/>
        <v>104:英语</v>
      </c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s="4" customFormat="1" ht="26.1" customHeight="1">
      <c r="A489" s="3">
        <v>487</v>
      </c>
      <c r="B489" s="4" t="str">
        <f>"钟英丽"</f>
        <v>钟英丽</v>
      </c>
      <c r="C489" s="4" t="str">
        <f t="shared" si="77"/>
        <v xml:space="preserve">女        </v>
      </c>
      <c r="D489" s="4" t="str">
        <f t="shared" si="82"/>
        <v>汉族</v>
      </c>
      <c r="E489" s="5" t="str">
        <f>"广西民族大学相思湖学院英语"</f>
        <v>广西民族大学相思湖学院英语</v>
      </c>
      <c r="F489" s="5" t="str">
        <f t="shared" si="86"/>
        <v>本科学士</v>
      </c>
      <c r="G489" s="6" t="str">
        <f>"不是"</f>
        <v>不是</v>
      </c>
      <c r="H489" s="6" t="str">
        <f t="shared" si="81"/>
        <v>小学</v>
      </c>
      <c r="I489" s="6" t="str">
        <f t="shared" si="83"/>
        <v>104:英语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s="4" customFormat="1" ht="26.1" customHeight="1">
      <c r="A490" s="3">
        <v>488</v>
      </c>
      <c r="B490" s="4" t="str">
        <f>"黄秋"</f>
        <v>黄秋</v>
      </c>
      <c r="C490" s="4" t="str">
        <f t="shared" si="77"/>
        <v xml:space="preserve">女        </v>
      </c>
      <c r="D490" s="4" t="str">
        <f t="shared" si="82"/>
        <v>汉族</v>
      </c>
      <c r="E490" s="5" t="str">
        <f>"贺州学院英语"</f>
        <v>贺州学院英语</v>
      </c>
      <c r="F490" s="5" t="str">
        <f t="shared" si="86"/>
        <v>本科学士</v>
      </c>
      <c r="G490" s="6" t="str">
        <f>"不是"</f>
        <v>不是</v>
      </c>
      <c r="H490" s="6" t="str">
        <f t="shared" si="81"/>
        <v>小学</v>
      </c>
      <c r="I490" s="6" t="str">
        <f t="shared" si="83"/>
        <v>104:英语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s="4" customFormat="1" ht="26.1" customHeight="1">
      <c r="A491" s="3">
        <v>489</v>
      </c>
      <c r="B491" s="4" t="str">
        <f>"梁华"</f>
        <v>梁华</v>
      </c>
      <c r="C491" s="4" t="str">
        <f t="shared" si="77"/>
        <v xml:space="preserve">女        </v>
      </c>
      <c r="D491" s="4" t="str">
        <f t="shared" si="82"/>
        <v>汉族</v>
      </c>
      <c r="E491" s="5" t="str">
        <f>"四川外国语大学成都学院英语"</f>
        <v>四川外国语大学成都学院英语</v>
      </c>
      <c r="F491" s="5" t="str">
        <f t="shared" si="86"/>
        <v>本科学士</v>
      </c>
      <c r="G491" s="6" t="str">
        <f>"不是"</f>
        <v>不是</v>
      </c>
      <c r="H491" s="6" t="str">
        <f t="shared" si="81"/>
        <v>小学</v>
      </c>
      <c r="I491" s="6" t="str">
        <f t="shared" si="83"/>
        <v>104:英语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s="4" customFormat="1" ht="26.1" customHeight="1">
      <c r="A492" s="3">
        <v>490</v>
      </c>
      <c r="B492" s="4" t="str">
        <f>"黄秋群"</f>
        <v>黄秋群</v>
      </c>
      <c r="C492" s="4" t="str">
        <f t="shared" si="77"/>
        <v xml:space="preserve">女        </v>
      </c>
      <c r="D492" s="4" t="str">
        <f t="shared" si="82"/>
        <v>汉族</v>
      </c>
      <c r="E492" s="5" t="str">
        <f>"贺州学院英语"</f>
        <v>贺州学院英语</v>
      </c>
      <c r="F492" s="5" t="str">
        <f t="shared" si="86"/>
        <v>本科学士</v>
      </c>
      <c r="G492" s="6" t="str">
        <f>"不是"</f>
        <v>不是</v>
      </c>
      <c r="H492" s="6" t="str">
        <f t="shared" si="81"/>
        <v>小学</v>
      </c>
      <c r="I492" s="6" t="str">
        <f t="shared" si="83"/>
        <v>104:英语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s="4" customFormat="1" ht="26.1" customHeight="1">
      <c r="A493" s="3">
        <v>491</v>
      </c>
      <c r="B493" s="4" t="str">
        <f>"陈思苗"</f>
        <v>陈思苗</v>
      </c>
      <c r="C493" s="4" t="str">
        <f t="shared" si="77"/>
        <v xml:space="preserve">女        </v>
      </c>
      <c r="D493" s="4" t="str">
        <f t="shared" si="82"/>
        <v>汉族</v>
      </c>
      <c r="E493" s="5" t="str">
        <f>"南宁地区教育学院英语教育"</f>
        <v>南宁地区教育学院英语教育</v>
      </c>
      <c r="F493" s="5" t="str">
        <f>"专科无学位"</f>
        <v>专科无学位</v>
      </c>
      <c r="G493" s="6" t="str">
        <f>"是"</f>
        <v>是</v>
      </c>
      <c r="H493" s="6" t="str">
        <f t="shared" si="81"/>
        <v>小学</v>
      </c>
      <c r="I493" s="6" t="str">
        <f t="shared" si="83"/>
        <v>104:英语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s="4" customFormat="1" ht="26.1" customHeight="1">
      <c r="A494" s="3">
        <v>492</v>
      </c>
      <c r="B494" s="4" t="str">
        <f>"韦夏玲"</f>
        <v>韦夏玲</v>
      </c>
      <c r="C494" s="4" t="str">
        <f t="shared" si="77"/>
        <v xml:space="preserve">女        </v>
      </c>
      <c r="D494" s="4" t="str">
        <f t="shared" si="82"/>
        <v>汉族</v>
      </c>
      <c r="E494" s="5" t="str">
        <f>"柳州师范高等专科学校应用英语"</f>
        <v>柳州师范高等专科学校应用英语</v>
      </c>
      <c r="F494" s="5" t="str">
        <f>"专科无学位"</f>
        <v>专科无学位</v>
      </c>
      <c r="G494" s="6" t="str">
        <f>"是"</f>
        <v>是</v>
      </c>
      <c r="H494" s="6" t="str">
        <f t="shared" si="81"/>
        <v>小学</v>
      </c>
      <c r="I494" s="6" t="str">
        <f t="shared" si="83"/>
        <v>104:英语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s="4" customFormat="1" ht="26.1" customHeight="1">
      <c r="A495" s="3">
        <v>493</v>
      </c>
      <c r="B495" s="4" t="str">
        <f>"冯敏"</f>
        <v>冯敏</v>
      </c>
      <c r="C495" s="4" t="str">
        <f t="shared" si="77"/>
        <v xml:space="preserve">女        </v>
      </c>
      <c r="D495" s="4" t="str">
        <f t="shared" si="82"/>
        <v>汉族</v>
      </c>
      <c r="E495" s="5" t="str">
        <f>"贺州学院商务英语"</f>
        <v>贺州学院商务英语</v>
      </c>
      <c r="F495" s="5" t="str">
        <f>"本科学士"</f>
        <v>本科学士</v>
      </c>
      <c r="G495" s="6" t="str">
        <f>"不是"</f>
        <v>不是</v>
      </c>
      <c r="H495" s="6" t="str">
        <f t="shared" si="81"/>
        <v>小学</v>
      </c>
      <c r="I495" s="6" t="str">
        <f t="shared" si="83"/>
        <v>104:英语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s="4" customFormat="1" ht="26.1" customHeight="1">
      <c r="A496" s="3">
        <v>494</v>
      </c>
      <c r="B496" s="4" t="str">
        <f>"李海英"</f>
        <v>李海英</v>
      </c>
      <c r="C496" s="4" t="str">
        <f t="shared" si="77"/>
        <v xml:space="preserve">女        </v>
      </c>
      <c r="D496" s="4" t="str">
        <f>"壮族"</f>
        <v>壮族</v>
      </c>
      <c r="E496" s="5" t="str">
        <f>"广西师范学院师园学院英语"</f>
        <v>广西师范学院师园学院英语</v>
      </c>
      <c r="F496" s="5" t="str">
        <f>"本科学士"</f>
        <v>本科学士</v>
      </c>
      <c r="G496" s="6" t="str">
        <f>"不是"</f>
        <v>不是</v>
      </c>
      <c r="H496" s="6" t="str">
        <f t="shared" si="81"/>
        <v>小学</v>
      </c>
      <c r="I496" s="6" t="str">
        <f t="shared" si="83"/>
        <v>104:英语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s="4" customFormat="1" ht="26.1" customHeight="1">
      <c r="A497" s="3">
        <v>495</v>
      </c>
      <c r="B497" s="4" t="str">
        <f>"刘菲"</f>
        <v>刘菲</v>
      </c>
      <c r="C497" s="4" t="str">
        <f t="shared" si="77"/>
        <v xml:space="preserve">女        </v>
      </c>
      <c r="D497" s="4" t="str">
        <f t="shared" ref="D497:D538" si="87">"汉族"</f>
        <v>汉族</v>
      </c>
      <c r="E497" s="5" t="str">
        <f>"柳州师范高等专科学校英语教育"</f>
        <v>柳州师范高等专科学校英语教育</v>
      </c>
      <c r="F497" s="5" t="str">
        <f>"专科无学位"</f>
        <v>专科无学位</v>
      </c>
      <c r="G497" s="6" t="str">
        <f>"是"</f>
        <v>是</v>
      </c>
      <c r="H497" s="6" t="str">
        <f t="shared" si="81"/>
        <v>小学</v>
      </c>
      <c r="I497" s="6" t="str">
        <f t="shared" si="83"/>
        <v>104:英语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s="4" customFormat="1" ht="26.1" customHeight="1">
      <c r="A498" s="3">
        <v>496</v>
      </c>
      <c r="B498" s="4" t="str">
        <f>"陈婷婷"</f>
        <v>陈婷婷</v>
      </c>
      <c r="C498" s="4" t="str">
        <f t="shared" si="77"/>
        <v xml:space="preserve">女        </v>
      </c>
      <c r="D498" s="4" t="str">
        <f t="shared" si="87"/>
        <v>汉族</v>
      </c>
      <c r="E498" s="5" t="str">
        <f>"玉林师范学院英语"</f>
        <v>玉林师范学院英语</v>
      </c>
      <c r="F498" s="5" t="str">
        <f>"本科学士"</f>
        <v>本科学士</v>
      </c>
      <c r="G498" s="6" t="str">
        <f>"是"</f>
        <v>是</v>
      </c>
      <c r="H498" s="6" t="str">
        <f t="shared" si="81"/>
        <v>小学</v>
      </c>
      <c r="I498" s="6" t="str">
        <f t="shared" si="83"/>
        <v>104:英语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s="4" customFormat="1" ht="26.1" customHeight="1">
      <c r="A499" s="3">
        <v>497</v>
      </c>
      <c r="B499" s="4" t="str">
        <f>"梁文婷"</f>
        <v>梁文婷</v>
      </c>
      <c r="C499" s="4" t="str">
        <f t="shared" ref="C499:C520" si="88">"女        "</f>
        <v xml:space="preserve">女        </v>
      </c>
      <c r="D499" s="4" t="str">
        <f t="shared" si="87"/>
        <v>汉族</v>
      </c>
      <c r="E499" s="5" t="str">
        <f>"广西师范学院英语教育"</f>
        <v>广西师范学院英语教育</v>
      </c>
      <c r="F499" s="5" t="str">
        <f>"专科无学位"</f>
        <v>专科无学位</v>
      </c>
      <c r="G499" s="6" t="str">
        <f>"是"</f>
        <v>是</v>
      </c>
      <c r="H499" s="6" t="str">
        <f t="shared" si="81"/>
        <v>小学</v>
      </c>
      <c r="I499" s="6" t="str">
        <f t="shared" si="83"/>
        <v>104:英语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s="4" customFormat="1" ht="26.1" customHeight="1">
      <c r="A500" s="3">
        <v>498</v>
      </c>
      <c r="B500" s="4" t="str">
        <f>"罗琼瑶"</f>
        <v>罗琼瑶</v>
      </c>
      <c r="C500" s="4" t="str">
        <f t="shared" si="88"/>
        <v xml:space="preserve">女        </v>
      </c>
      <c r="D500" s="4" t="str">
        <f t="shared" si="87"/>
        <v>汉族</v>
      </c>
      <c r="E500" s="5" t="str">
        <f>"桂林电子科技大学英语"</f>
        <v>桂林电子科技大学英语</v>
      </c>
      <c r="F500" s="5" t="str">
        <f>"本科学士"</f>
        <v>本科学士</v>
      </c>
      <c r="G500" s="6" t="str">
        <f>"不是"</f>
        <v>不是</v>
      </c>
      <c r="H500" s="6" t="str">
        <f t="shared" si="81"/>
        <v>小学</v>
      </c>
      <c r="I500" s="6" t="str">
        <f t="shared" si="83"/>
        <v>104:英语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s="4" customFormat="1" ht="26.1" customHeight="1">
      <c r="A501" s="3">
        <v>499</v>
      </c>
      <c r="B501" s="4" t="str">
        <f>"文春琳"</f>
        <v>文春琳</v>
      </c>
      <c r="C501" s="4" t="str">
        <f t="shared" si="88"/>
        <v xml:space="preserve">女        </v>
      </c>
      <c r="D501" s="4" t="str">
        <f t="shared" si="87"/>
        <v>汉族</v>
      </c>
      <c r="E501" s="5" t="str">
        <f>"广西财经学院商务英语"</f>
        <v>广西财经学院商务英语</v>
      </c>
      <c r="F501" s="5" t="str">
        <f>"本科学士"</f>
        <v>本科学士</v>
      </c>
      <c r="G501" s="6" t="str">
        <f>"不是"</f>
        <v>不是</v>
      </c>
      <c r="H501" s="6" t="str">
        <f t="shared" si="81"/>
        <v>小学</v>
      </c>
      <c r="I501" s="6" t="str">
        <f t="shared" si="83"/>
        <v>104:英语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s="4" customFormat="1" ht="26.1" customHeight="1">
      <c r="A502" s="3">
        <v>500</v>
      </c>
      <c r="B502" s="4" t="str">
        <f>"庞杨桐"</f>
        <v>庞杨桐</v>
      </c>
      <c r="C502" s="4" t="str">
        <f t="shared" si="88"/>
        <v xml:space="preserve">女        </v>
      </c>
      <c r="D502" s="4" t="str">
        <f t="shared" si="87"/>
        <v>汉族</v>
      </c>
      <c r="E502" s="5" t="str">
        <f>"玉林师范学院英语"</f>
        <v>玉林师范学院英语</v>
      </c>
      <c r="F502" s="5" t="str">
        <f>"本科学士"</f>
        <v>本科学士</v>
      </c>
      <c r="G502" s="6" t="str">
        <f>"是"</f>
        <v>是</v>
      </c>
      <c r="H502" s="6" t="str">
        <f t="shared" si="81"/>
        <v>小学</v>
      </c>
      <c r="I502" s="6" t="str">
        <f t="shared" si="83"/>
        <v>104:英语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s="4" customFormat="1" ht="26.1" customHeight="1">
      <c r="A503" s="3">
        <v>501</v>
      </c>
      <c r="B503" s="4" t="str">
        <f>"陈忠凤"</f>
        <v>陈忠凤</v>
      </c>
      <c r="C503" s="4" t="str">
        <f t="shared" si="88"/>
        <v xml:space="preserve">女        </v>
      </c>
      <c r="D503" s="4" t="str">
        <f t="shared" si="87"/>
        <v>汉族</v>
      </c>
      <c r="E503" s="5" t="str">
        <f>"百色学院英语"</f>
        <v>百色学院英语</v>
      </c>
      <c r="F503" s="5" t="str">
        <f>"本科学士"</f>
        <v>本科学士</v>
      </c>
      <c r="G503" s="6" t="str">
        <f>"不是"</f>
        <v>不是</v>
      </c>
      <c r="H503" s="6" t="str">
        <f t="shared" si="81"/>
        <v>小学</v>
      </c>
      <c r="I503" s="6" t="str">
        <f t="shared" si="83"/>
        <v>104:英语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s="4" customFormat="1" ht="26.1" customHeight="1">
      <c r="A504" s="3">
        <v>502</v>
      </c>
      <c r="B504" s="4" t="str">
        <f>"陈雪柳"</f>
        <v>陈雪柳</v>
      </c>
      <c r="C504" s="4" t="str">
        <f t="shared" si="88"/>
        <v xml:space="preserve">女        </v>
      </c>
      <c r="D504" s="4" t="str">
        <f t="shared" si="87"/>
        <v>汉族</v>
      </c>
      <c r="E504" s="5" t="str">
        <f>"湖南城市学院英语"</f>
        <v>湖南城市学院英语</v>
      </c>
      <c r="F504" s="5" t="str">
        <f>"本科学士"</f>
        <v>本科学士</v>
      </c>
      <c r="G504" s="6" t="str">
        <f>"是"</f>
        <v>是</v>
      </c>
      <c r="H504" s="6" t="str">
        <f t="shared" si="81"/>
        <v>小学</v>
      </c>
      <c r="I504" s="6" t="str">
        <f t="shared" si="83"/>
        <v>104:英语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s="4" customFormat="1" ht="26.1" customHeight="1">
      <c r="A505" s="3">
        <v>503</v>
      </c>
      <c r="B505" s="4" t="str">
        <f>"林冰"</f>
        <v>林冰</v>
      </c>
      <c r="C505" s="4" t="str">
        <f t="shared" si="88"/>
        <v xml:space="preserve">女        </v>
      </c>
      <c r="D505" s="4" t="str">
        <f t="shared" si="87"/>
        <v>汉族</v>
      </c>
      <c r="E505" s="5" t="str">
        <f>"广西南宁地区教育学院英语教育"</f>
        <v>广西南宁地区教育学院英语教育</v>
      </c>
      <c r="F505" s="5" t="str">
        <f>"专科无学位"</f>
        <v>专科无学位</v>
      </c>
      <c r="G505" s="6" t="str">
        <f>"是"</f>
        <v>是</v>
      </c>
      <c r="H505" s="6" t="str">
        <f t="shared" si="81"/>
        <v>小学</v>
      </c>
      <c r="I505" s="6" t="str">
        <f t="shared" si="83"/>
        <v>104:英语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s="4" customFormat="1" ht="26.1" customHeight="1">
      <c r="A506" s="3">
        <v>504</v>
      </c>
      <c r="B506" s="4" t="str">
        <f>"凌娜"</f>
        <v>凌娜</v>
      </c>
      <c r="C506" s="4" t="str">
        <f t="shared" si="88"/>
        <v xml:space="preserve">女        </v>
      </c>
      <c r="D506" s="4" t="str">
        <f t="shared" si="87"/>
        <v>汉族</v>
      </c>
      <c r="E506" s="5" t="str">
        <f>"广西师范学院英语教育"</f>
        <v>广西师范学院英语教育</v>
      </c>
      <c r="F506" s="5" t="str">
        <f>"专科学士"</f>
        <v>专科学士</v>
      </c>
      <c r="G506" s="6" t="str">
        <f>"是"</f>
        <v>是</v>
      </c>
      <c r="H506" s="6" t="str">
        <f t="shared" si="81"/>
        <v>小学</v>
      </c>
      <c r="I506" s="6" t="str">
        <f t="shared" si="83"/>
        <v>104:英语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s="4" customFormat="1" ht="26.1" customHeight="1">
      <c r="A507" s="3">
        <v>505</v>
      </c>
      <c r="B507" s="4" t="str">
        <f>"曾天"</f>
        <v>曾天</v>
      </c>
      <c r="C507" s="4" t="str">
        <f t="shared" si="88"/>
        <v xml:space="preserve">女        </v>
      </c>
      <c r="D507" s="4" t="str">
        <f t="shared" si="87"/>
        <v>汉族</v>
      </c>
      <c r="E507" s="5" t="str">
        <f>"广西师范学院师园学院英语"</f>
        <v>广西师范学院师园学院英语</v>
      </c>
      <c r="F507" s="5" t="str">
        <f>"本科学士"</f>
        <v>本科学士</v>
      </c>
      <c r="G507" s="6" t="str">
        <f>"是"</f>
        <v>是</v>
      </c>
      <c r="H507" s="6" t="str">
        <f t="shared" si="81"/>
        <v>小学</v>
      </c>
      <c r="I507" s="6" t="str">
        <f t="shared" si="83"/>
        <v>104:英语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s="4" customFormat="1" ht="26.1" customHeight="1">
      <c r="A508" s="3">
        <v>506</v>
      </c>
      <c r="B508" s="4" t="str">
        <f>"张媛"</f>
        <v>张媛</v>
      </c>
      <c r="C508" s="4" t="str">
        <f t="shared" si="88"/>
        <v xml:space="preserve">女        </v>
      </c>
      <c r="D508" s="4" t="str">
        <f t="shared" si="87"/>
        <v>汉族</v>
      </c>
      <c r="E508" s="5" t="str">
        <f>"梧州学院英语"</f>
        <v>梧州学院英语</v>
      </c>
      <c r="F508" s="5" t="str">
        <f>"本科学士"</f>
        <v>本科学士</v>
      </c>
      <c r="G508" s="6" t="str">
        <f>"不是"</f>
        <v>不是</v>
      </c>
      <c r="H508" s="6" t="str">
        <f t="shared" si="81"/>
        <v>小学</v>
      </c>
      <c r="I508" s="6" t="str">
        <f t="shared" si="83"/>
        <v>104:英语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s="4" customFormat="1" ht="26.1" customHeight="1">
      <c r="A509" s="3">
        <v>507</v>
      </c>
      <c r="B509" s="4" t="str">
        <f>"陈富凤"</f>
        <v>陈富凤</v>
      </c>
      <c r="C509" s="4" t="str">
        <f t="shared" si="88"/>
        <v xml:space="preserve">女        </v>
      </c>
      <c r="D509" s="4" t="str">
        <f t="shared" si="87"/>
        <v>汉族</v>
      </c>
      <c r="E509" s="5" t="str">
        <f>"广西民族师范农学院英语教育"</f>
        <v>广西民族师范农学院英语教育</v>
      </c>
      <c r="F509" s="5" t="str">
        <f>"专科无学位"</f>
        <v>专科无学位</v>
      </c>
      <c r="G509" s="6" t="str">
        <f>"是"</f>
        <v>是</v>
      </c>
      <c r="H509" s="6" t="str">
        <f t="shared" si="81"/>
        <v>小学</v>
      </c>
      <c r="I509" s="6" t="str">
        <f t="shared" si="83"/>
        <v>104:英语</v>
      </c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s="4" customFormat="1" ht="26.1" customHeight="1">
      <c r="A510" s="3">
        <v>508</v>
      </c>
      <c r="B510" s="4" t="str">
        <f>"梁声媛"</f>
        <v>梁声媛</v>
      </c>
      <c r="C510" s="4" t="str">
        <f t="shared" si="88"/>
        <v xml:space="preserve">女        </v>
      </c>
      <c r="D510" s="4" t="str">
        <f t="shared" si="87"/>
        <v>汉族</v>
      </c>
      <c r="E510" s="5" t="str">
        <f>"广西师范学院师园学院英语"</f>
        <v>广西师范学院师园学院英语</v>
      </c>
      <c r="F510" s="5" t="str">
        <f t="shared" ref="F510:F516" si="89">"本科学士"</f>
        <v>本科学士</v>
      </c>
      <c r="G510" s="6" t="str">
        <f>"不是"</f>
        <v>不是</v>
      </c>
      <c r="H510" s="6" t="str">
        <f t="shared" si="81"/>
        <v>小学</v>
      </c>
      <c r="I510" s="6" t="str">
        <f t="shared" si="83"/>
        <v>104:英语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s="4" customFormat="1" ht="26.1" customHeight="1">
      <c r="A511" s="3">
        <v>509</v>
      </c>
      <c r="B511" s="4" t="str">
        <f>"彭慧"</f>
        <v>彭慧</v>
      </c>
      <c r="C511" s="4" t="str">
        <f t="shared" si="88"/>
        <v xml:space="preserve">女        </v>
      </c>
      <c r="D511" s="4" t="str">
        <f t="shared" si="87"/>
        <v>汉族</v>
      </c>
      <c r="E511" s="5" t="str">
        <f>"重庆师范大学涉外商贸学院商务英语"</f>
        <v>重庆师范大学涉外商贸学院商务英语</v>
      </c>
      <c r="F511" s="5" t="str">
        <f t="shared" si="89"/>
        <v>本科学士</v>
      </c>
      <c r="G511" s="6" t="str">
        <f>"不是"</f>
        <v>不是</v>
      </c>
      <c r="H511" s="6" t="str">
        <f t="shared" si="81"/>
        <v>小学</v>
      </c>
      <c r="I511" s="6" t="str">
        <f t="shared" si="83"/>
        <v>104:英语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s="4" customFormat="1" ht="26.1" customHeight="1">
      <c r="A512" s="3">
        <v>510</v>
      </c>
      <c r="B512" s="4" t="str">
        <f>"覃倩青"</f>
        <v>覃倩青</v>
      </c>
      <c r="C512" s="4" t="str">
        <f t="shared" si="88"/>
        <v xml:space="preserve">女        </v>
      </c>
      <c r="D512" s="4" t="str">
        <f t="shared" si="87"/>
        <v>汉族</v>
      </c>
      <c r="E512" s="5" t="str">
        <f>"广西大学英语"</f>
        <v>广西大学英语</v>
      </c>
      <c r="F512" s="5" t="str">
        <f t="shared" si="89"/>
        <v>本科学士</v>
      </c>
      <c r="G512" s="6" t="str">
        <f>"不是"</f>
        <v>不是</v>
      </c>
      <c r="H512" s="6" t="str">
        <f t="shared" si="81"/>
        <v>小学</v>
      </c>
      <c r="I512" s="6" t="str">
        <f t="shared" si="83"/>
        <v>104:英语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s="4" customFormat="1" ht="26.1" customHeight="1">
      <c r="A513" s="3">
        <v>511</v>
      </c>
      <c r="B513" s="4" t="str">
        <f>"陈小燕"</f>
        <v>陈小燕</v>
      </c>
      <c r="C513" s="4" t="str">
        <f t="shared" si="88"/>
        <v xml:space="preserve">女        </v>
      </c>
      <c r="D513" s="4" t="str">
        <f t="shared" si="87"/>
        <v>汉族</v>
      </c>
      <c r="E513" s="5" t="str">
        <f>"广西大学行健文理学院英语"</f>
        <v>广西大学行健文理学院英语</v>
      </c>
      <c r="F513" s="5" t="str">
        <f t="shared" si="89"/>
        <v>本科学士</v>
      </c>
      <c r="G513" s="6" t="str">
        <f>"不是"</f>
        <v>不是</v>
      </c>
      <c r="H513" s="6" t="str">
        <f t="shared" si="81"/>
        <v>小学</v>
      </c>
      <c r="I513" s="6" t="str">
        <f t="shared" si="83"/>
        <v>104:英语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s="4" customFormat="1" ht="26.1" customHeight="1">
      <c r="A514" s="3">
        <v>512</v>
      </c>
      <c r="B514" s="4" t="str">
        <f>"罗舒霞"</f>
        <v>罗舒霞</v>
      </c>
      <c r="C514" s="4" t="str">
        <f t="shared" si="88"/>
        <v xml:space="preserve">女        </v>
      </c>
      <c r="D514" s="4" t="str">
        <f t="shared" si="87"/>
        <v>汉族</v>
      </c>
      <c r="E514" s="5" t="str">
        <f>"广西师范学院师园学院英语"</f>
        <v>广西师范学院师园学院英语</v>
      </c>
      <c r="F514" s="5" t="str">
        <f t="shared" si="89"/>
        <v>本科学士</v>
      </c>
      <c r="G514" s="6" t="str">
        <f>"是"</f>
        <v>是</v>
      </c>
      <c r="H514" s="6" t="str">
        <f t="shared" si="81"/>
        <v>小学</v>
      </c>
      <c r="I514" s="6" t="str">
        <f t="shared" si="83"/>
        <v>104:英语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s="4" customFormat="1" ht="26.1" customHeight="1">
      <c r="A515" s="3">
        <v>513</v>
      </c>
      <c r="B515" s="4" t="str">
        <f>"林创"</f>
        <v>林创</v>
      </c>
      <c r="C515" s="4" t="str">
        <f t="shared" si="88"/>
        <v xml:space="preserve">女        </v>
      </c>
      <c r="D515" s="4" t="str">
        <f t="shared" si="87"/>
        <v>汉族</v>
      </c>
      <c r="E515" s="5" t="str">
        <f>"百色学院英语教育"</f>
        <v>百色学院英语教育</v>
      </c>
      <c r="F515" s="5" t="str">
        <f t="shared" si="89"/>
        <v>本科学士</v>
      </c>
      <c r="G515" s="6" t="str">
        <f>"是"</f>
        <v>是</v>
      </c>
      <c r="H515" s="6" t="str">
        <f t="shared" si="81"/>
        <v>小学</v>
      </c>
      <c r="I515" s="6" t="str">
        <f t="shared" si="83"/>
        <v>104:英语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s="4" customFormat="1" ht="26.1" customHeight="1">
      <c r="A516" s="3">
        <v>514</v>
      </c>
      <c r="B516" s="4" t="str">
        <f>"庞贝贝"</f>
        <v>庞贝贝</v>
      </c>
      <c r="C516" s="4" t="str">
        <f t="shared" si="88"/>
        <v xml:space="preserve">女        </v>
      </c>
      <c r="D516" s="4" t="str">
        <f t="shared" si="87"/>
        <v>汉族</v>
      </c>
      <c r="E516" s="5" t="str">
        <f>"玉林师范学院英语"</f>
        <v>玉林师范学院英语</v>
      </c>
      <c r="F516" s="5" t="str">
        <f t="shared" si="89"/>
        <v>本科学士</v>
      </c>
      <c r="G516" s="6" t="str">
        <f>"不是"</f>
        <v>不是</v>
      </c>
      <c r="H516" s="6" t="str">
        <f t="shared" si="81"/>
        <v>小学</v>
      </c>
      <c r="I516" s="6" t="str">
        <f t="shared" si="83"/>
        <v>104:英语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s="4" customFormat="1" ht="26.1" customHeight="1">
      <c r="A517" s="3">
        <v>515</v>
      </c>
      <c r="B517" s="4" t="str">
        <f>"童萍"</f>
        <v>童萍</v>
      </c>
      <c r="C517" s="4" t="str">
        <f t="shared" si="88"/>
        <v xml:space="preserve">女        </v>
      </c>
      <c r="D517" s="4" t="str">
        <f t="shared" si="87"/>
        <v>汉族</v>
      </c>
      <c r="E517" s="5" t="str">
        <f>"桂林师范高等专科学校现代教育技术"</f>
        <v>桂林师范高等专科学校现代教育技术</v>
      </c>
      <c r="F517" s="5" t="str">
        <f>"专科学士"</f>
        <v>专科学士</v>
      </c>
      <c r="G517" s="6" t="str">
        <f>"是"</f>
        <v>是</v>
      </c>
      <c r="H517" s="6" t="str">
        <f t="shared" si="81"/>
        <v>小学</v>
      </c>
      <c r="I517" s="6" t="str">
        <f t="shared" ref="I517:I528" si="90">"110:信息技术"</f>
        <v>110:信息技术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s="4" customFormat="1" ht="26.1" customHeight="1">
      <c r="A518" s="3">
        <v>516</v>
      </c>
      <c r="B518" s="4" t="str">
        <f>"梁秋红"</f>
        <v>梁秋红</v>
      </c>
      <c r="C518" s="4" t="str">
        <f t="shared" si="88"/>
        <v xml:space="preserve">女        </v>
      </c>
      <c r="D518" s="4" t="str">
        <f t="shared" si="87"/>
        <v>汉族</v>
      </c>
      <c r="E518" s="5" t="str">
        <f>"广西师范学院教育技术学"</f>
        <v>广西师范学院教育技术学</v>
      </c>
      <c r="F518" s="5" t="str">
        <f>"本科学士"</f>
        <v>本科学士</v>
      </c>
      <c r="G518" s="6" t="str">
        <f>"是"</f>
        <v>是</v>
      </c>
      <c r="H518" s="6" t="str">
        <f t="shared" si="81"/>
        <v>小学</v>
      </c>
      <c r="I518" s="6" t="str">
        <f t="shared" si="90"/>
        <v>110:信息技术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s="4" customFormat="1" ht="26.1" customHeight="1">
      <c r="A519" s="3">
        <v>517</v>
      </c>
      <c r="B519" s="4" t="str">
        <f>"黄丽芳"</f>
        <v>黄丽芳</v>
      </c>
      <c r="C519" s="4" t="str">
        <f t="shared" si="88"/>
        <v xml:space="preserve">女        </v>
      </c>
      <c r="D519" s="4" t="str">
        <f t="shared" si="87"/>
        <v>汉族</v>
      </c>
      <c r="E519" s="5" t="str">
        <f>"重庆师范大学教育技术学"</f>
        <v>重庆师范大学教育技术学</v>
      </c>
      <c r="F519" s="5" t="str">
        <f>"本科学士"</f>
        <v>本科学士</v>
      </c>
      <c r="G519" s="6" t="str">
        <f>"是"</f>
        <v>是</v>
      </c>
      <c r="H519" s="6" t="str">
        <f t="shared" si="81"/>
        <v>小学</v>
      </c>
      <c r="I519" s="6" t="str">
        <f t="shared" si="90"/>
        <v>110:信息技术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s="4" customFormat="1" ht="26.1" customHeight="1">
      <c r="A520" s="3">
        <v>518</v>
      </c>
      <c r="B520" s="4" t="str">
        <f>"刘玲玲"</f>
        <v>刘玲玲</v>
      </c>
      <c r="C520" s="4" t="str">
        <f t="shared" si="88"/>
        <v xml:space="preserve">女        </v>
      </c>
      <c r="D520" s="4" t="str">
        <f t="shared" si="87"/>
        <v>汉族</v>
      </c>
      <c r="E520" s="5" t="str">
        <f>"玉林师范学院软件工程"</f>
        <v>玉林师范学院软件工程</v>
      </c>
      <c r="F520" s="5" t="str">
        <f>"本科学士"</f>
        <v>本科学士</v>
      </c>
      <c r="G520" s="6" t="str">
        <f>"不是"</f>
        <v>不是</v>
      </c>
      <c r="H520" s="6" t="str">
        <f t="shared" si="81"/>
        <v>小学</v>
      </c>
      <c r="I520" s="6" t="str">
        <f t="shared" si="90"/>
        <v>110:信息技术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s="4" customFormat="1" ht="26.1" customHeight="1">
      <c r="A521" s="3">
        <v>519</v>
      </c>
      <c r="B521" s="4" t="str">
        <f>"覃明森"</f>
        <v>覃明森</v>
      </c>
      <c r="C521" s="4" t="str">
        <f>"男        "</f>
        <v xml:space="preserve">男        </v>
      </c>
      <c r="D521" s="4" t="str">
        <f t="shared" si="87"/>
        <v>汉族</v>
      </c>
      <c r="E521" s="5" t="str">
        <f>"河北省廊坊师范学院教育技术学"</f>
        <v>河北省廊坊师范学院教育技术学</v>
      </c>
      <c r="F521" s="5" t="str">
        <f>"本科学士"</f>
        <v>本科学士</v>
      </c>
      <c r="G521" s="6" t="str">
        <f>"是"</f>
        <v>是</v>
      </c>
      <c r="H521" s="6" t="str">
        <f t="shared" ref="H521:H584" si="91">"小学"</f>
        <v>小学</v>
      </c>
      <c r="I521" s="6" t="str">
        <f t="shared" si="90"/>
        <v>110:信息技术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s="4" customFormat="1" ht="26.1" customHeight="1">
      <c r="A522" s="3">
        <v>520</v>
      </c>
      <c r="B522" s="4" t="str">
        <f>"冯渝雅"</f>
        <v>冯渝雅</v>
      </c>
      <c r="C522" s="4" t="str">
        <f>"女        "</f>
        <v xml:space="preserve">女        </v>
      </c>
      <c r="D522" s="4" t="str">
        <f t="shared" si="87"/>
        <v>汉族</v>
      </c>
      <c r="E522" s="5" t="str">
        <f>"桂林师范高等专科学校现代教育技术"</f>
        <v>桂林师范高等专科学校现代教育技术</v>
      </c>
      <c r="F522" s="5" t="str">
        <f>"专科无学位"</f>
        <v>专科无学位</v>
      </c>
      <c r="G522" s="6" t="str">
        <f>"是"</f>
        <v>是</v>
      </c>
      <c r="H522" s="6" t="str">
        <f t="shared" si="91"/>
        <v>小学</v>
      </c>
      <c r="I522" s="6" t="str">
        <f t="shared" si="90"/>
        <v>110:信息技术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s="4" customFormat="1" ht="26.1" customHeight="1">
      <c r="A523" s="3">
        <v>521</v>
      </c>
      <c r="B523" s="4" t="str">
        <f>"聂玉铭"</f>
        <v>聂玉铭</v>
      </c>
      <c r="C523" s="4" t="str">
        <f>"女        "</f>
        <v xml:space="preserve">女        </v>
      </c>
      <c r="D523" s="4" t="str">
        <f t="shared" si="87"/>
        <v>汉族</v>
      </c>
      <c r="E523" s="5" t="str">
        <f>"桂林师范高等专科学校现代教育"</f>
        <v>桂林师范高等专科学校现代教育</v>
      </c>
      <c r="F523" s="5" t="str">
        <f>"专科无学位"</f>
        <v>专科无学位</v>
      </c>
      <c r="G523" s="6" t="str">
        <f>"是"</f>
        <v>是</v>
      </c>
      <c r="H523" s="6" t="str">
        <f t="shared" si="91"/>
        <v>小学</v>
      </c>
      <c r="I523" s="6" t="str">
        <f t="shared" si="90"/>
        <v>110:信息技术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s="4" customFormat="1" ht="26.1" customHeight="1">
      <c r="A524" s="3">
        <v>522</v>
      </c>
      <c r="B524" s="4" t="str">
        <f>"刘丽敏"</f>
        <v>刘丽敏</v>
      </c>
      <c r="C524" s="4" t="str">
        <f>"女        "</f>
        <v xml:space="preserve">女        </v>
      </c>
      <c r="D524" s="4" t="str">
        <f t="shared" si="87"/>
        <v>汉族</v>
      </c>
      <c r="E524" s="5" t="str">
        <f>"广西师范大学电子信息工程"</f>
        <v>广西师范大学电子信息工程</v>
      </c>
      <c r="F524" s="5" t="str">
        <f>"本科学士"</f>
        <v>本科学士</v>
      </c>
      <c r="G524" s="6" t="str">
        <f>"是"</f>
        <v>是</v>
      </c>
      <c r="H524" s="6" t="str">
        <f t="shared" si="91"/>
        <v>小学</v>
      </c>
      <c r="I524" s="6" t="str">
        <f t="shared" si="90"/>
        <v>110:信息技术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s="4" customFormat="1" ht="26.1" customHeight="1">
      <c r="A525" s="3">
        <v>523</v>
      </c>
      <c r="B525" s="4" t="str">
        <f>"曾庆婕"</f>
        <v>曾庆婕</v>
      </c>
      <c r="C525" s="4" t="str">
        <f>"女        "</f>
        <v xml:space="preserve">女        </v>
      </c>
      <c r="D525" s="4" t="str">
        <f t="shared" si="87"/>
        <v>汉族</v>
      </c>
      <c r="E525" s="5" t="str">
        <f>"桂林师范高等专科学校现代教育技术"</f>
        <v>桂林师范高等专科学校现代教育技术</v>
      </c>
      <c r="F525" s="5" t="str">
        <f>"专科无学位"</f>
        <v>专科无学位</v>
      </c>
      <c r="G525" s="6" t="str">
        <f>"是"</f>
        <v>是</v>
      </c>
      <c r="H525" s="6" t="str">
        <f t="shared" si="91"/>
        <v>小学</v>
      </c>
      <c r="I525" s="6" t="str">
        <f t="shared" si="90"/>
        <v>110:信息技术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s="4" customFormat="1" ht="26.1" customHeight="1">
      <c r="A526" s="3">
        <v>524</v>
      </c>
      <c r="B526" s="4" t="str">
        <f>"李明烨"</f>
        <v>李明烨</v>
      </c>
      <c r="C526" s="4" t="str">
        <f>"男        "</f>
        <v xml:space="preserve">男        </v>
      </c>
      <c r="D526" s="4" t="str">
        <f t="shared" si="87"/>
        <v>汉族</v>
      </c>
      <c r="E526" s="5" t="str">
        <f>"玉林师范学院计算机科学与技术"</f>
        <v>玉林师范学院计算机科学与技术</v>
      </c>
      <c r="F526" s="5" t="str">
        <f>"本科学士"</f>
        <v>本科学士</v>
      </c>
      <c r="G526" s="6" t="str">
        <f>"不是"</f>
        <v>不是</v>
      </c>
      <c r="H526" s="6" t="str">
        <f t="shared" si="91"/>
        <v>小学</v>
      </c>
      <c r="I526" s="6" t="str">
        <f t="shared" si="90"/>
        <v>110:信息技术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s="4" customFormat="1" ht="26.1" customHeight="1">
      <c r="A527" s="3">
        <v>525</v>
      </c>
      <c r="B527" s="4" t="str">
        <f>"吴金芗"</f>
        <v>吴金芗</v>
      </c>
      <c r="C527" s="4" t="str">
        <f>"女        "</f>
        <v xml:space="preserve">女        </v>
      </c>
      <c r="D527" s="4" t="str">
        <f t="shared" si="87"/>
        <v>汉族</v>
      </c>
      <c r="E527" s="5" t="str">
        <f>"广西师范学院教育技术学"</f>
        <v>广西师范学院教育技术学</v>
      </c>
      <c r="F527" s="5" t="str">
        <f>"本科学士"</f>
        <v>本科学士</v>
      </c>
      <c r="G527" s="6" t="str">
        <f>"是"</f>
        <v>是</v>
      </c>
      <c r="H527" s="6" t="str">
        <f t="shared" si="91"/>
        <v>小学</v>
      </c>
      <c r="I527" s="6" t="str">
        <f t="shared" si="90"/>
        <v>110:信息技术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s="4" customFormat="1" ht="26.1" customHeight="1">
      <c r="A528" s="3">
        <v>526</v>
      </c>
      <c r="B528" s="4" t="str">
        <f>"麦金凤"</f>
        <v>麦金凤</v>
      </c>
      <c r="C528" s="4" t="str">
        <f t="shared" ref="C528" si="92">"女        "</f>
        <v xml:space="preserve">女        </v>
      </c>
      <c r="D528" s="4" t="str">
        <f t="shared" si="87"/>
        <v>汉族</v>
      </c>
      <c r="E528" s="5" t="str">
        <f>"湖南师范大学通信工程"</f>
        <v>湖南师范大学通信工程</v>
      </c>
      <c r="F528" s="5" t="str">
        <f>"本科学士"</f>
        <v>本科学士</v>
      </c>
      <c r="G528" s="6" t="str">
        <f>"不是"</f>
        <v>不是</v>
      </c>
      <c r="H528" s="6" t="str">
        <f t="shared" si="91"/>
        <v>小学</v>
      </c>
      <c r="I528" s="6" t="str">
        <f t="shared" si="90"/>
        <v>110:信息技术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s="4" customFormat="1" ht="26.1" customHeight="1">
      <c r="A529" s="3">
        <v>527</v>
      </c>
      <c r="B529" s="4" t="str">
        <f>"杨礼斌"</f>
        <v>杨礼斌</v>
      </c>
      <c r="C529" s="4" t="str">
        <f>"男        "</f>
        <v xml:space="preserve">男        </v>
      </c>
      <c r="D529" s="4" t="str">
        <f t="shared" si="87"/>
        <v>汉族</v>
      </c>
      <c r="E529" s="5" t="str">
        <f>"贺州学院体育教育"</f>
        <v>贺州学院体育教育</v>
      </c>
      <c r="F529" s="5" t="str">
        <f>"本科学士"</f>
        <v>本科学士</v>
      </c>
      <c r="G529" s="6" t="str">
        <f>"是"</f>
        <v>是</v>
      </c>
      <c r="H529" s="6" t="str">
        <f t="shared" si="91"/>
        <v>小学</v>
      </c>
      <c r="I529" s="6" t="str">
        <f t="shared" ref="I529:I551" si="93">"106:体育"</f>
        <v>106:体育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s="4" customFormat="1" ht="26.1" customHeight="1">
      <c r="A530" s="3">
        <v>528</v>
      </c>
      <c r="B530" s="4" t="str">
        <f>"钟水莹"</f>
        <v>钟水莹</v>
      </c>
      <c r="C530" s="4" t="str">
        <f>"女        "</f>
        <v xml:space="preserve">女        </v>
      </c>
      <c r="D530" s="4" t="str">
        <f t="shared" si="87"/>
        <v>汉族</v>
      </c>
      <c r="E530" s="5" t="str">
        <f>"贺州学院体育教育"</f>
        <v>贺州学院体育教育</v>
      </c>
      <c r="F530" s="5" t="str">
        <f>"本科学士"</f>
        <v>本科学士</v>
      </c>
      <c r="G530" s="6" t="str">
        <f>"是"</f>
        <v>是</v>
      </c>
      <c r="H530" s="6" t="str">
        <f t="shared" si="91"/>
        <v>小学</v>
      </c>
      <c r="I530" s="6" t="str">
        <f t="shared" si="93"/>
        <v>106:体育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s="4" customFormat="1" ht="26.1" customHeight="1">
      <c r="A531" s="3">
        <v>529</v>
      </c>
      <c r="B531" s="4" t="str">
        <f>"黄焕"</f>
        <v>黄焕</v>
      </c>
      <c r="C531" s="4" t="str">
        <f>"男        "</f>
        <v xml:space="preserve">男        </v>
      </c>
      <c r="D531" s="4" t="str">
        <f t="shared" si="87"/>
        <v>汉族</v>
      </c>
      <c r="E531" s="5" t="str">
        <f>"广西科技师范学院体育教育"</f>
        <v>广西科技师范学院体育教育</v>
      </c>
      <c r="F531" s="5" t="str">
        <f>"专科无学位"</f>
        <v>专科无学位</v>
      </c>
      <c r="G531" s="6" t="str">
        <f>"是"</f>
        <v>是</v>
      </c>
      <c r="H531" s="6" t="str">
        <f t="shared" si="91"/>
        <v>小学</v>
      </c>
      <c r="I531" s="6" t="str">
        <f t="shared" si="93"/>
        <v>106:体育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s="4" customFormat="1" ht="26.1" customHeight="1">
      <c r="A532" s="3">
        <v>530</v>
      </c>
      <c r="B532" s="4" t="str">
        <f>"吕富粮"</f>
        <v>吕富粮</v>
      </c>
      <c r="C532" s="4" t="str">
        <f>"男        "</f>
        <v xml:space="preserve">男        </v>
      </c>
      <c r="D532" s="4" t="str">
        <f t="shared" si="87"/>
        <v>汉族</v>
      </c>
      <c r="E532" s="5" t="str">
        <f>"贺州学院体育教育"</f>
        <v>贺州学院体育教育</v>
      </c>
      <c r="F532" s="5" t="str">
        <f>"本科学士"</f>
        <v>本科学士</v>
      </c>
      <c r="G532" s="6" t="str">
        <f>"是"</f>
        <v>是</v>
      </c>
      <c r="H532" s="6" t="str">
        <f t="shared" si="91"/>
        <v>小学</v>
      </c>
      <c r="I532" s="6" t="str">
        <f t="shared" si="93"/>
        <v>106:体育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s="4" customFormat="1" ht="26.1" customHeight="1">
      <c r="A533" s="3">
        <v>531</v>
      </c>
      <c r="B533" s="4" t="str">
        <f>"莫小珊"</f>
        <v>莫小珊</v>
      </c>
      <c r="C533" s="4" t="str">
        <f>"女        "</f>
        <v xml:space="preserve">女        </v>
      </c>
      <c r="D533" s="4" t="str">
        <f t="shared" si="87"/>
        <v>汉族</v>
      </c>
      <c r="E533" s="5" t="str">
        <f>"广西体育高等专科学校体育教育"</f>
        <v>广西体育高等专科学校体育教育</v>
      </c>
      <c r="F533" s="5" t="str">
        <f>"专科无学位"</f>
        <v>专科无学位</v>
      </c>
      <c r="G533" s="6" t="str">
        <f>"是"</f>
        <v>是</v>
      </c>
      <c r="H533" s="6" t="str">
        <f t="shared" si="91"/>
        <v>小学</v>
      </c>
      <c r="I533" s="6" t="str">
        <f t="shared" si="93"/>
        <v>106:体育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s="4" customFormat="1" ht="26.1" customHeight="1">
      <c r="A534" s="3">
        <v>532</v>
      </c>
      <c r="B534" s="4" t="str">
        <f>"陈啟佳"</f>
        <v>陈啟佳</v>
      </c>
      <c r="C534" s="4" t="str">
        <f>"男        "</f>
        <v xml:space="preserve">男        </v>
      </c>
      <c r="D534" s="4" t="str">
        <f t="shared" si="87"/>
        <v>汉族</v>
      </c>
      <c r="E534" s="5" t="str">
        <f>"云南大学体育教育"</f>
        <v>云南大学体育教育</v>
      </c>
      <c r="F534" s="5" t="str">
        <f>"本科学士"</f>
        <v>本科学士</v>
      </c>
      <c r="G534" s="6" t="str">
        <f>"不是"</f>
        <v>不是</v>
      </c>
      <c r="H534" s="6" t="str">
        <f t="shared" si="91"/>
        <v>小学</v>
      </c>
      <c r="I534" s="6" t="str">
        <f t="shared" si="93"/>
        <v>106:体育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s="4" customFormat="1" ht="26.1" customHeight="1">
      <c r="A535" s="3">
        <v>533</v>
      </c>
      <c r="B535" s="4" t="str">
        <f>"全昌艳"</f>
        <v>全昌艳</v>
      </c>
      <c r="C535" s="4" t="str">
        <f>"女        "</f>
        <v xml:space="preserve">女        </v>
      </c>
      <c r="D535" s="4" t="str">
        <f t="shared" si="87"/>
        <v>汉族</v>
      </c>
      <c r="E535" s="5" t="str">
        <f>"玉林师范学院健美操"</f>
        <v>玉林师范学院健美操</v>
      </c>
      <c r="F535" s="5" t="str">
        <f>"本科学士"</f>
        <v>本科学士</v>
      </c>
      <c r="G535" s="6" t="str">
        <f>"是"</f>
        <v>是</v>
      </c>
      <c r="H535" s="6" t="str">
        <f t="shared" si="91"/>
        <v>小学</v>
      </c>
      <c r="I535" s="6" t="str">
        <f t="shared" si="93"/>
        <v>106:体育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s="4" customFormat="1" ht="26.1" customHeight="1">
      <c r="A536" s="3">
        <v>534</v>
      </c>
      <c r="B536" s="4" t="str">
        <f>"钟环龙"</f>
        <v>钟环龙</v>
      </c>
      <c r="C536" s="4" t="str">
        <f>"男        "</f>
        <v xml:space="preserve">男        </v>
      </c>
      <c r="D536" s="4" t="str">
        <f t="shared" si="87"/>
        <v>汉族</v>
      </c>
      <c r="E536" s="5" t="str">
        <f>"广西民族大学体育教育"</f>
        <v>广西民族大学体育教育</v>
      </c>
      <c r="F536" s="5" t="str">
        <f>"本科学士"</f>
        <v>本科学士</v>
      </c>
      <c r="G536" s="6" t="str">
        <f>"是"</f>
        <v>是</v>
      </c>
      <c r="H536" s="6" t="str">
        <f t="shared" si="91"/>
        <v>小学</v>
      </c>
      <c r="I536" s="6" t="str">
        <f t="shared" si="93"/>
        <v>106:体育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s="4" customFormat="1" ht="26.1" customHeight="1">
      <c r="A537" s="3">
        <v>535</v>
      </c>
      <c r="B537" s="4" t="str">
        <f>"罗程"</f>
        <v>罗程</v>
      </c>
      <c r="C537" s="4" t="str">
        <f>"男        "</f>
        <v xml:space="preserve">男        </v>
      </c>
      <c r="D537" s="4" t="str">
        <f t="shared" si="87"/>
        <v>汉族</v>
      </c>
      <c r="E537" s="5" t="str">
        <f>"广西大学体育学院社会体育"</f>
        <v>广西大学体育学院社会体育</v>
      </c>
      <c r="F537" s="5" t="str">
        <f>"本科学士"</f>
        <v>本科学士</v>
      </c>
      <c r="G537" s="6" t="str">
        <f>"不是"</f>
        <v>不是</v>
      </c>
      <c r="H537" s="6" t="str">
        <f t="shared" si="91"/>
        <v>小学</v>
      </c>
      <c r="I537" s="6" t="str">
        <f t="shared" si="93"/>
        <v>106:体育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s="4" customFormat="1" ht="26.1" customHeight="1">
      <c r="A538" s="3">
        <v>536</v>
      </c>
      <c r="B538" s="4" t="str">
        <f>"廖河山"</f>
        <v>廖河山</v>
      </c>
      <c r="C538" s="4" t="str">
        <f>"男        "</f>
        <v xml:space="preserve">男        </v>
      </c>
      <c r="D538" s="4" t="str">
        <f t="shared" si="87"/>
        <v>汉族</v>
      </c>
      <c r="E538" s="5" t="str">
        <f>"广西师范学院体育教育"</f>
        <v>广西师范学院体育教育</v>
      </c>
      <c r="F538" s="5" t="str">
        <f>"本科学士"</f>
        <v>本科学士</v>
      </c>
      <c r="G538" s="6" t="str">
        <f t="shared" ref="G538:G546" si="94">"是"</f>
        <v>是</v>
      </c>
      <c r="H538" s="6" t="str">
        <f t="shared" si="91"/>
        <v>小学</v>
      </c>
      <c r="I538" s="6" t="str">
        <f t="shared" si="93"/>
        <v>106:体育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s="4" customFormat="1" ht="26.1" customHeight="1">
      <c r="A539" s="3">
        <v>537</v>
      </c>
      <c r="B539" s="4" t="str">
        <f>"蒙艳梅"</f>
        <v>蒙艳梅</v>
      </c>
      <c r="C539" s="4" t="str">
        <f t="shared" ref="C539:C545" si="95">"女        "</f>
        <v xml:space="preserve">女        </v>
      </c>
      <c r="D539" s="4" t="str">
        <f>"壮族"</f>
        <v>壮族</v>
      </c>
      <c r="E539" s="5" t="str">
        <f>"广西体育高等专科学校体育教育"</f>
        <v>广西体育高等专科学校体育教育</v>
      </c>
      <c r="F539" s="5" t="str">
        <f>"专科无学位"</f>
        <v>专科无学位</v>
      </c>
      <c r="G539" s="6" t="str">
        <f t="shared" si="94"/>
        <v>是</v>
      </c>
      <c r="H539" s="6" t="str">
        <f t="shared" si="91"/>
        <v>小学</v>
      </c>
      <c r="I539" s="6" t="str">
        <f t="shared" si="93"/>
        <v>106:体育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s="4" customFormat="1" ht="26.1" customHeight="1">
      <c r="A540" s="3">
        <v>538</v>
      </c>
      <c r="B540" s="4" t="str">
        <f>"阙玉艳"</f>
        <v>阙玉艳</v>
      </c>
      <c r="C540" s="4" t="str">
        <f t="shared" si="95"/>
        <v xml:space="preserve">女        </v>
      </c>
      <c r="D540" s="4" t="str">
        <f t="shared" ref="D540:D581" si="96">"汉族"</f>
        <v>汉族</v>
      </c>
      <c r="E540" s="5" t="str">
        <f>"广西师范大学漓江学院篮球"</f>
        <v>广西师范大学漓江学院篮球</v>
      </c>
      <c r="F540" s="5" t="str">
        <f>"本科学士"</f>
        <v>本科学士</v>
      </c>
      <c r="G540" s="6" t="str">
        <f t="shared" si="94"/>
        <v>是</v>
      </c>
      <c r="H540" s="6" t="str">
        <f t="shared" si="91"/>
        <v>小学</v>
      </c>
      <c r="I540" s="6" t="str">
        <f t="shared" si="93"/>
        <v>106:体育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s="4" customFormat="1" ht="26.1" customHeight="1">
      <c r="A541" s="3">
        <v>539</v>
      </c>
      <c r="B541" s="4" t="str">
        <f>"黎家英"</f>
        <v>黎家英</v>
      </c>
      <c r="C541" s="4" t="str">
        <f t="shared" si="95"/>
        <v xml:space="preserve">女        </v>
      </c>
      <c r="D541" s="4" t="str">
        <f t="shared" si="96"/>
        <v>汉族</v>
      </c>
      <c r="E541" s="5" t="str">
        <f>"贺州学院体育教育"</f>
        <v>贺州学院体育教育</v>
      </c>
      <c r="F541" s="5" t="str">
        <f>"本科学士"</f>
        <v>本科学士</v>
      </c>
      <c r="G541" s="6" t="str">
        <f t="shared" si="94"/>
        <v>是</v>
      </c>
      <c r="H541" s="6" t="str">
        <f t="shared" si="91"/>
        <v>小学</v>
      </c>
      <c r="I541" s="6" t="str">
        <f t="shared" si="93"/>
        <v>106:体育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s="4" customFormat="1" ht="26.1" customHeight="1">
      <c r="A542" s="3">
        <v>540</v>
      </c>
      <c r="B542" s="4" t="str">
        <f>"李小红"</f>
        <v>李小红</v>
      </c>
      <c r="C542" s="4" t="str">
        <f t="shared" si="95"/>
        <v xml:space="preserve">女        </v>
      </c>
      <c r="D542" s="4" t="str">
        <f t="shared" si="96"/>
        <v>汉族</v>
      </c>
      <c r="E542" s="5" t="str">
        <f>"玉林师范学院体育教育"</f>
        <v>玉林师范学院体育教育</v>
      </c>
      <c r="F542" s="5" t="str">
        <f>"本科学士"</f>
        <v>本科学士</v>
      </c>
      <c r="G542" s="6" t="str">
        <f t="shared" si="94"/>
        <v>是</v>
      </c>
      <c r="H542" s="6" t="str">
        <f t="shared" si="91"/>
        <v>小学</v>
      </c>
      <c r="I542" s="6" t="str">
        <f t="shared" si="93"/>
        <v>106:体育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s="4" customFormat="1" ht="26.1" customHeight="1">
      <c r="A543" s="3">
        <v>541</v>
      </c>
      <c r="B543" s="4" t="str">
        <f>"覃玉芳"</f>
        <v>覃玉芳</v>
      </c>
      <c r="C543" s="4" t="str">
        <f t="shared" si="95"/>
        <v xml:space="preserve">女        </v>
      </c>
      <c r="D543" s="4" t="str">
        <f t="shared" si="96"/>
        <v>汉族</v>
      </c>
      <c r="E543" s="5" t="str">
        <f>"广西体育高等专科学校体育教育"</f>
        <v>广西体育高等专科学校体育教育</v>
      </c>
      <c r="F543" s="5" t="str">
        <f>"专科无学位"</f>
        <v>专科无学位</v>
      </c>
      <c r="G543" s="6" t="str">
        <f t="shared" si="94"/>
        <v>是</v>
      </c>
      <c r="H543" s="6" t="str">
        <f t="shared" si="91"/>
        <v>小学</v>
      </c>
      <c r="I543" s="6" t="str">
        <f t="shared" si="93"/>
        <v>106:体育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s="4" customFormat="1" ht="26.1" customHeight="1">
      <c r="A544" s="3">
        <v>542</v>
      </c>
      <c r="B544" s="4" t="str">
        <f>"梁美兰"</f>
        <v>梁美兰</v>
      </c>
      <c r="C544" s="4" t="str">
        <f t="shared" si="95"/>
        <v xml:space="preserve">女        </v>
      </c>
      <c r="D544" s="4" t="str">
        <f t="shared" si="96"/>
        <v>汉族</v>
      </c>
      <c r="E544" s="5" t="str">
        <f>"广西师范大学漓江学院体育教育"</f>
        <v>广西师范大学漓江学院体育教育</v>
      </c>
      <c r="F544" s="5" t="str">
        <f t="shared" ref="F544:F549" si="97">"本科学士"</f>
        <v>本科学士</v>
      </c>
      <c r="G544" s="6" t="str">
        <f t="shared" si="94"/>
        <v>是</v>
      </c>
      <c r="H544" s="6" t="str">
        <f t="shared" si="91"/>
        <v>小学</v>
      </c>
      <c r="I544" s="6" t="str">
        <f t="shared" si="93"/>
        <v>106:体育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s="4" customFormat="1" ht="26.1" customHeight="1">
      <c r="A545" s="3">
        <v>543</v>
      </c>
      <c r="B545" s="4" t="str">
        <f>"廖莲芳"</f>
        <v>廖莲芳</v>
      </c>
      <c r="C545" s="4" t="str">
        <f t="shared" si="95"/>
        <v xml:space="preserve">女        </v>
      </c>
      <c r="D545" s="4" t="str">
        <f t="shared" si="96"/>
        <v>汉族</v>
      </c>
      <c r="E545" s="5" t="str">
        <f>"玉林师范学院体育教育"</f>
        <v>玉林师范学院体育教育</v>
      </c>
      <c r="F545" s="5" t="str">
        <f t="shared" si="97"/>
        <v>本科学士</v>
      </c>
      <c r="G545" s="6" t="str">
        <f t="shared" si="94"/>
        <v>是</v>
      </c>
      <c r="H545" s="6" t="str">
        <f t="shared" si="91"/>
        <v>小学</v>
      </c>
      <c r="I545" s="6" t="str">
        <f t="shared" si="93"/>
        <v>106:体育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s="4" customFormat="1" ht="26.1" customHeight="1">
      <c r="A546" s="3">
        <v>544</v>
      </c>
      <c r="B546" s="4" t="str">
        <f>"张选奇"</f>
        <v>张选奇</v>
      </c>
      <c r="C546" s="4" t="str">
        <f>"男        "</f>
        <v xml:space="preserve">男        </v>
      </c>
      <c r="D546" s="4" t="str">
        <f t="shared" si="96"/>
        <v>汉族</v>
      </c>
      <c r="E546" s="5" t="str">
        <f>"玉林师范学院体育教育"</f>
        <v>玉林师范学院体育教育</v>
      </c>
      <c r="F546" s="5" t="str">
        <f t="shared" si="97"/>
        <v>本科学士</v>
      </c>
      <c r="G546" s="6" t="str">
        <f t="shared" si="94"/>
        <v>是</v>
      </c>
      <c r="H546" s="6" t="str">
        <f t="shared" si="91"/>
        <v>小学</v>
      </c>
      <c r="I546" s="6" t="str">
        <f t="shared" si="93"/>
        <v>106:体育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s="4" customFormat="1" ht="26.1" customHeight="1">
      <c r="A547" s="3">
        <v>545</v>
      </c>
      <c r="B547" s="4" t="str">
        <f>"禤振妮"</f>
        <v>禤振妮</v>
      </c>
      <c r="C547" s="4" t="str">
        <f>"女        "</f>
        <v xml:space="preserve">女        </v>
      </c>
      <c r="D547" s="4" t="str">
        <f t="shared" si="96"/>
        <v>汉族</v>
      </c>
      <c r="E547" s="5" t="str">
        <f>"玉林师范学院运动康复与健康"</f>
        <v>玉林师范学院运动康复与健康</v>
      </c>
      <c r="F547" s="5" t="str">
        <f t="shared" si="97"/>
        <v>本科学士</v>
      </c>
      <c r="G547" s="6" t="str">
        <f>"不是"</f>
        <v>不是</v>
      </c>
      <c r="H547" s="6" t="str">
        <f t="shared" si="91"/>
        <v>小学</v>
      </c>
      <c r="I547" s="6" t="str">
        <f t="shared" si="93"/>
        <v>106:体育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s="4" customFormat="1" ht="26.1" customHeight="1">
      <c r="A548" s="3">
        <v>546</v>
      </c>
      <c r="B548" s="4" t="str">
        <f>"黄浩"</f>
        <v>黄浩</v>
      </c>
      <c r="C548" s="4" t="str">
        <f>"男        "</f>
        <v xml:space="preserve">男        </v>
      </c>
      <c r="D548" s="4" t="str">
        <f t="shared" si="96"/>
        <v>汉族</v>
      </c>
      <c r="E548" s="5" t="str">
        <f>"玉林师范学院体育教育"</f>
        <v>玉林师范学院体育教育</v>
      </c>
      <c r="F548" s="5" t="str">
        <f t="shared" si="97"/>
        <v>本科学士</v>
      </c>
      <c r="G548" s="6" t="str">
        <f>"是"</f>
        <v>是</v>
      </c>
      <c r="H548" s="6" t="str">
        <f t="shared" si="91"/>
        <v>小学</v>
      </c>
      <c r="I548" s="6" t="str">
        <f t="shared" si="93"/>
        <v>106:体育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s="4" customFormat="1" ht="26.1" customHeight="1">
      <c r="A549" s="3">
        <v>547</v>
      </c>
      <c r="B549" s="4" t="str">
        <f>"周一林"</f>
        <v>周一林</v>
      </c>
      <c r="C549" s="4" t="str">
        <f>"男        "</f>
        <v xml:space="preserve">男        </v>
      </c>
      <c r="D549" s="4" t="str">
        <f t="shared" si="96"/>
        <v>汉族</v>
      </c>
      <c r="E549" s="5" t="str">
        <f>"广西民族大学相思湖学院社会体育"</f>
        <v>广西民族大学相思湖学院社会体育</v>
      </c>
      <c r="F549" s="5" t="str">
        <f t="shared" si="97"/>
        <v>本科学士</v>
      </c>
      <c r="G549" s="6" t="str">
        <f>"不是"</f>
        <v>不是</v>
      </c>
      <c r="H549" s="6" t="str">
        <f t="shared" si="91"/>
        <v>小学</v>
      </c>
      <c r="I549" s="6" t="str">
        <f t="shared" si="93"/>
        <v>106:体育</v>
      </c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s="4" customFormat="1" ht="26.1" customHeight="1">
      <c r="A550" s="3">
        <v>548</v>
      </c>
      <c r="B550" s="4" t="str">
        <f>"覃龙秋"</f>
        <v>覃龙秋</v>
      </c>
      <c r="C550" s="4" t="str">
        <f>"女        "</f>
        <v xml:space="preserve">女        </v>
      </c>
      <c r="D550" s="4" t="str">
        <f t="shared" si="96"/>
        <v>汉族</v>
      </c>
      <c r="E550" s="5" t="str">
        <f>"钦州学院体育教育"</f>
        <v>钦州学院体育教育</v>
      </c>
      <c r="F550" s="5" t="str">
        <f>"专科无学位"</f>
        <v>专科无学位</v>
      </c>
      <c r="G550" s="6" t="str">
        <f>"是"</f>
        <v>是</v>
      </c>
      <c r="H550" s="6" t="str">
        <f t="shared" si="91"/>
        <v>小学</v>
      </c>
      <c r="I550" s="6" t="str">
        <f t="shared" si="93"/>
        <v>106:体育</v>
      </c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s="4" customFormat="1" ht="26.1" customHeight="1">
      <c r="A551" s="3">
        <v>549</v>
      </c>
      <c r="B551" s="4" t="str">
        <f>"吕文飞"</f>
        <v>吕文飞</v>
      </c>
      <c r="C551" s="4" t="str">
        <f>"男        "</f>
        <v xml:space="preserve">男        </v>
      </c>
      <c r="D551" s="4" t="str">
        <f t="shared" si="96"/>
        <v>汉族</v>
      </c>
      <c r="E551" s="5" t="str">
        <f>"成都中医药大学体育教育"</f>
        <v>成都中医药大学体育教育</v>
      </c>
      <c r="F551" s="5" t="str">
        <f>"本科学士"</f>
        <v>本科学士</v>
      </c>
      <c r="G551" s="6" t="str">
        <f>"是"</f>
        <v>是</v>
      </c>
      <c r="H551" s="6" t="str">
        <f t="shared" si="91"/>
        <v>小学</v>
      </c>
      <c r="I551" s="6" t="str">
        <f t="shared" si="93"/>
        <v>106:体育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s="4" customFormat="1" ht="26.1" customHeight="1">
      <c r="A552" s="3">
        <v>550</v>
      </c>
      <c r="B552" s="4" t="str">
        <f>"沈阳"</f>
        <v>沈阳</v>
      </c>
      <c r="C552" s="4" t="str">
        <f>"女        "</f>
        <v xml:space="preserve">女        </v>
      </c>
      <c r="D552" s="4" t="str">
        <f t="shared" si="96"/>
        <v>汉族</v>
      </c>
      <c r="E552" s="5" t="str">
        <f>"梧州学院音乐学"</f>
        <v>梧州学院音乐学</v>
      </c>
      <c r="F552" s="5" t="str">
        <f>"本科学士"</f>
        <v>本科学士</v>
      </c>
      <c r="G552" s="6" t="str">
        <f>"是"</f>
        <v>是</v>
      </c>
      <c r="H552" s="6" t="str">
        <f t="shared" si="91"/>
        <v>小学</v>
      </c>
      <c r="I552" s="6" t="str">
        <f t="shared" ref="I552:I591" si="98">"107:音乐"</f>
        <v>107:音乐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s="4" customFormat="1" ht="26.1" customHeight="1">
      <c r="A553" s="3">
        <v>551</v>
      </c>
      <c r="B553" s="4" t="str">
        <f>"杨攀"</f>
        <v>杨攀</v>
      </c>
      <c r="C553" s="4" t="str">
        <f>"女        "</f>
        <v xml:space="preserve">女        </v>
      </c>
      <c r="D553" s="4" t="str">
        <f t="shared" si="96"/>
        <v>汉族</v>
      </c>
      <c r="E553" s="5" t="str">
        <f>"四川理工学院音乐表演"</f>
        <v>四川理工学院音乐表演</v>
      </c>
      <c r="F553" s="5" t="str">
        <f>"本科学士"</f>
        <v>本科学士</v>
      </c>
      <c r="G553" s="6" t="str">
        <f>"不是"</f>
        <v>不是</v>
      </c>
      <c r="H553" s="6" t="str">
        <f t="shared" si="91"/>
        <v>小学</v>
      </c>
      <c r="I553" s="6" t="str">
        <f t="shared" si="98"/>
        <v>107:音乐</v>
      </c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s="4" customFormat="1" ht="26.1" customHeight="1">
      <c r="A554" s="3">
        <v>552</v>
      </c>
      <c r="B554" s="4" t="str">
        <f>"黄艳玲"</f>
        <v>黄艳玲</v>
      </c>
      <c r="C554" s="4" t="str">
        <f>"女        "</f>
        <v xml:space="preserve">女        </v>
      </c>
      <c r="D554" s="4" t="str">
        <f t="shared" si="96"/>
        <v>汉族</v>
      </c>
      <c r="E554" s="5" t="str">
        <f>"桂林师范高等专科学校音乐表演"</f>
        <v>桂林师范高等专科学校音乐表演</v>
      </c>
      <c r="F554" s="5" t="str">
        <f>"专科无学位"</f>
        <v>专科无学位</v>
      </c>
      <c r="G554" s="6" t="str">
        <f>"是"</f>
        <v>是</v>
      </c>
      <c r="H554" s="6" t="str">
        <f t="shared" si="91"/>
        <v>小学</v>
      </c>
      <c r="I554" s="6" t="str">
        <f t="shared" si="98"/>
        <v>107:音乐</v>
      </c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s="4" customFormat="1" ht="26.1" customHeight="1">
      <c r="A555" s="3">
        <v>553</v>
      </c>
      <c r="B555" s="4" t="str">
        <f>"肖慧娴"</f>
        <v>肖慧娴</v>
      </c>
      <c r="C555" s="4" t="str">
        <f>"女        "</f>
        <v xml:space="preserve">女        </v>
      </c>
      <c r="D555" s="4" t="str">
        <f t="shared" si="96"/>
        <v>汉族</v>
      </c>
      <c r="E555" s="5" t="str">
        <f>"河池学院音乐表演"</f>
        <v>河池学院音乐表演</v>
      </c>
      <c r="F555" s="5" t="str">
        <f>"本科学士"</f>
        <v>本科学士</v>
      </c>
      <c r="G555" s="6" t="str">
        <f>"不是"</f>
        <v>不是</v>
      </c>
      <c r="H555" s="6" t="str">
        <f t="shared" si="91"/>
        <v>小学</v>
      </c>
      <c r="I555" s="6" t="str">
        <f t="shared" si="98"/>
        <v>107:音乐</v>
      </c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s="4" customFormat="1" ht="26.1" customHeight="1">
      <c r="A556" s="3">
        <v>554</v>
      </c>
      <c r="B556" s="4" t="str">
        <f>"丘凌利"</f>
        <v>丘凌利</v>
      </c>
      <c r="C556" s="4" t="str">
        <f>"女        "</f>
        <v xml:space="preserve">女        </v>
      </c>
      <c r="D556" s="4" t="str">
        <f t="shared" si="96"/>
        <v>汉族</v>
      </c>
      <c r="E556" s="5" t="str">
        <f>"河池学院音乐表演"</f>
        <v>河池学院音乐表演</v>
      </c>
      <c r="F556" s="5" t="str">
        <f>"本科学士"</f>
        <v>本科学士</v>
      </c>
      <c r="G556" s="6" t="str">
        <f>"不是"</f>
        <v>不是</v>
      </c>
      <c r="H556" s="6" t="str">
        <f t="shared" si="91"/>
        <v>小学</v>
      </c>
      <c r="I556" s="6" t="str">
        <f t="shared" si="98"/>
        <v>107:音乐</v>
      </c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s="4" customFormat="1" ht="26.1" customHeight="1">
      <c r="A557" s="3">
        <v>555</v>
      </c>
      <c r="B557" s="4" t="str">
        <f>"杨斯达"</f>
        <v>杨斯达</v>
      </c>
      <c r="C557" s="4" t="str">
        <f>"男        "</f>
        <v xml:space="preserve">男        </v>
      </c>
      <c r="D557" s="4" t="str">
        <f t="shared" si="96"/>
        <v>汉族</v>
      </c>
      <c r="E557" s="5" t="str">
        <f>"广西教育学院音乐教育"</f>
        <v>广西教育学院音乐教育</v>
      </c>
      <c r="F557" s="5" t="str">
        <f>"专科无学位"</f>
        <v>专科无学位</v>
      </c>
      <c r="G557" s="6" t="str">
        <f>"是"</f>
        <v>是</v>
      </c>
      <c r="H557" s="6" t="str">
        <f t="shared" si="91"/>
        <v>小学</v>
      </c>
      <c r="I557" s="6" t="str">
        <f t="shared" si="98"/>
        <v>107:音乐</v>
      </c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s="4" customFormat="1" ht="26.1" customHeight="1">
      <c r="A558" s="3">
        <v>556</v>
      </c>
      <c r="B558" s="4" t="str">
        <f>"陈洋阳"</f>
        <v>陈洋阳</v>
      </c>
      <c r="C558" s="4" t="str">
        <f t="shared" ref="C558:C591" si="99">"女        "</f>
        <v xml:space="preserve">女        </v>
      </c>
      <c r="D558" s="4" t="str">
        <f t="shared" si="96"/>
        <v>汉族</v>
      </c>
      <c r="E558" s="5" t="str">
        <f>"广西教育学院音乐教育"</f>
        <v>广西教育学院音乐教育</v>
      </c>
      <c r="F558" s="5" t="str">
        <f>"专科无学位"</f>
        <v>专科无学位</v>
      </c>
      <c r="G558" s="6" t="str">
        <f>"是"</f>
        <v>是</v>
      </c>
      <c r="H558" s="6" t="str">
        <f t="shared" si="91"/>
        <v>小学</v>
      </c>
      <c r="I558" s="6" t="str">
        <f t="shared" si="98"/>
        <v>107:音乐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s="4" customFormat="1" ht="26.1" customHeight="1">
      <c r="A559" s="3">
        <v>557</v>
      </c>
      <c r="B559" s="4" t="str">
        <f>"刘佳"</f>
        <v>刘佳</v>
      </c>
      <c r="C559" s="4" t="str">
        <f t="shared" si="99"/>
        <v xml:space="preserve">女        </v>
      </c>
      <c r="D559" s="4" t="str">
        <f t="shared" si="96"/>
        <v>汉族</v>
      </c>
      <c r="E559" s="5" t="str">
        <f>"广西民族大学音乐表演"</f>
        <v>广西民族大学音乐表演</v>
      </c>
      <c r="F559" s="5" t="str">
        <f t="shared" ref="F559:F564" si="100">"本科学士"</f>
        <v>本科学士</v>
      </c>
      <c r="G559" s="6" t="str">
        <f>"不是"</f>
        <v>不是</v>
      </c>
      <c r="H559" s="6" t="str">
        <f t="shared" si="91"/>
        <v>小学</v>
      </c>
      <c r="I559" s="6" t="str">
        <f t="shared" si="98"/>
        <v>107:音乐</v>
      </c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s="4" customFormat="1" ht="26.1" customHeight="1">
      <c r="A560" s="3">
        <v>558</v>
      </c>
      <c r="B560" s="4" t="str">
        <f>"林钊"</f>
        <v>林钊</v>
      </c>
      <c r="C560" s="4" t="str">
        <f t="shared" si="99"/>
        <v xml:space="preserve">女        </v>
      </c>
      <c r="D560" s="4" t="str">
        <f t="shared" si="96"/>
        <v>汉族</v>
      </c>
      <c r="E560" s="5" t="str">
        <f>"嘉应学院音乐学"</f>
        <v>嘉应学院音乐学</v>
      </c>
      <c r="F560" s="5" t="str">
        <f t="shared" si="100"/>
        <v>本科学士</v>
      </c>
      <c r="G560" s="6" t="str">
        <f>"是"</f>
        <v>是</v>
      </c>
      <c r="H560" s="6" t="str">
        <f t="shared" si="91"/>
        <v>小学</v>
      </c>
      <c r="I560" s="6" t="str">
        <f t="shared" si="98"/>
        <v>107:音乐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s="4" customFormat="1" ht="26.1" customHeight="1">
      <c r="A561" s="3">
        <v>559</v>
      </c>
      <c r="B561" s="4" t="str">
        <f>"李丹"</f>
        <v>李丹</v>
      </c>
      <c r="C561" s="4" t="str">
        <f t="shared" si="99"/>
        <v xml:space="preserve">女        </v>
      </c>
      <c r="D561" s="4" t="str">
        <f t="shared" si="96"/>
        <v>汉族</v>
      </c>
      <c r="E561" s="5" t="str">
        <f>"湖南城市学院音乐学"</f>
        <v>湖南城市学院音乐学</v>
      </c>
      <c r="F561" s="5" t="str">
        <f t="shared" si="100"/>
        <v>本科学士</v>
      </c>
      <c r="G561" s="6" t="str">
        <f>"不是"</f>
        <v>不是</v>
      </c>
      <c r="H561" s="6" t="str">
        <f t="shared" si="91"/>
        <v>小学</v>
      </c>
      <c r="I561" s="6" t="str">
        <f t="shared" si="98"/>
        <v>107:音乐</v>
      </c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s="4" customFormat="1" ht="26.1" customHeight="1">
      <c r="A562" s="3">
        <v>560</v>
      </c>
      <c r="B562" s="4" t="str">
        <f>"黄馨莹"</f>
        <v>黄馨莹</v>
      </c>
      <c r="C562" s="4" t="str">
        <f t="shared" si="99"/>
        <v xml:space="preserve">女        </v>
      </c>
      <c r="D562" s="4" t="str">
        <f t="shared" si="96"/>
        <v>汉族</v>
      </c>
      <c r="E562" s="5" t="str">
        <f>"广西学院玉林师范音乐学"</f>
        <v>广西学院玉林师范音乐学</v>
      </c>
      <c r="F562" s="5" t="str">
        <f t="shared" si="100"/>
        <v>本科学士</v>
      </c>
      <c r="G562" s="6" t="str">
        <f>"是"</f>
        <v>是</v>
      </c>
      <c r="H562" s="6" t="str">
        <f t="shared" si="91"/>
        <v>小学</v>
      </c>
      <c r="I562" s="6" t="str">
        <f t="shared" si="98"/>
        <v>107:音乐</v>
      </c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s="4" customFormat="1" ht="26.1" customHeight="1">
      <c r="A563" s="3">
        <v>561</v>
      </c>
      <c r="B563" s="4" t="str">
        <f>"黄露露"</f>
        <v>黄露露</v>
      </c>
      <c r="C563" s="4" t="str">
        <f t="shared" si="99"/>
        <v xml:space="preserve">女        </v>
      </c>
      <c r="D563" s="4" t="str">
        <f t="shared" si="96"/>
        <v>汉族</v>
      </c>
      <c r="E563" s="5" t="str">
        <f>"广西师范大学漓江学院音乐学"</f>
        <v>广西师范大学漓江学院音乐学</v>
      </c>
      <c r="F563" s="5" t="str">
        <f t="shared" si="100"/>
        <v>本科学士</v>
      </c>
      <c r="G563" s="6" t="str">
        <f>"是"</f>
        <v>是</v>
      </c>
      <c r="H563" s="6" t="str">
        <f t="shared" si="91"/>
        <v>小学</v>
      </c>
      <c r="I563" s="6" t="str">
        <f t="shared" si="98"/>
        <v>107:音乐</v>
      </c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s="4" customFormat="1" ht="26.1" customHeight="1">
      <c r="A564" s="3">
        <v>562</v>
      </c>
      <c r="B564" s="4" t="str">
        <f>"杨颜冰"</f>
        <v>杨颜冰</v>
      </c>
      <c r="C564" s="4" t="str">
        <f t="shared" si="99"/>
        <v xml:space="preserve">女        </v>
      </c>
      <c r="D564" s="4" t="str">
        <f t="shared" si="96"/>
        <v>汉族</v>
      </c>
      <c r="E564" s="5" t="str">
        <f>"怀化学院音乐学"</f>
        <v>怀化学院音乐学</v>
      </c>
      <c r="F564" s="5" t="str">
        <f t="shared" si="100"/>
        <v>本科学士</v>
      </c>
      <c r="G564" s="6" t="str">
        <f>"是"</f>
        <v>是</v>
      </c>
      <c r="H564" s="6" t="str">
        <f t="shared" si="91"/>
        <v>小学</v>
      </c>
      <c r="I564" s="6" t="str">
        <f t="shared" si="98"/>
        <v>107:音乐</v>
      </c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s="4" customFormat="1" ht="26.1" customHeight="1">
      <c r="A565" s="3">
        <v>563</v>
      </c>
      <c r="B565" s="4" t="str">
        <f>"彭嘉美"</f>
        <v>彭嘉美</v>
      </c>
      <c r="C565" s="4" t="str">
        <f t="shared" si="99"/>
        <v xml:space="preserve">女        </v>
      </c>
      <c r="D565" s="4" t="str">
        <f t="shared" si="96"/>
        <v>汉族</v>
      </c>
      <c r="E565" s="5" t="str">
        <f>"桂林师范高等专科学校音乐教育"</f>
        <v>桂林师范高等专科学校音乐教育</v>
      </c>
      <c r="F565" s="5" t="str">
        <f>"专科无学位"</f>
        <v>专科无学位</v>
      </c>
      <c r="G565" s="6" t="str">
        <f>"是"</f>
        <v>是</v>
      </c>
      <c r="H565" s="6" t="str">
        <f t="shared" si="91"/>
        <v>小学</v>
      </c>
      <c r="I565" s="6" t="str">
        <f t="shared" si="98"/>
        <v>107:音乐</v>
      </c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s="4" customFormat="1" ht="26.1" customHeight="1">
      <c r="A566" s="3">
        <v>564</v>
      </c>
      <c r="B566" s="4" t="str">
        <f>"冯钰琦"</f>
        <v>冯钰琦</v>
      </c>
      <c r="C566" s="4" t="str">
        <f t="shared" si="99"/>
        <v xml:space="preserve">女        </v>
      </c>
      <c r="D566" s="4" t="str">
        <f t="shared" si="96"/>
        <v>汉族</v>
      </c>
      <c r="E566" s="5" t="str">
        <f>"海南热带海洋学院音乐表演"</f>
        <v>海南热带海洋学院音乐表演</v>
      </c>
      <c r="F566" s="5" t="str">
        <f t="shared" ref="F566:F583" si="101">"本科学士"</f>
        <v>本科学士</v>
      </c>
      <c r="G566" s="6" t="str">
        <f>"不是"</f>
        <v>不是</v>
      </c>
      <c r="H566" s="6" t="str">
        <f t="shared" si="91"/>
        <v>小学</v>
      </c>
      <c r="I566" s="6" t="str">
        <f t="shared" si="98"/>
        <v>107:音乐</v>
      </c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s="4" customFormat="1" ht="26.1" customHeight="1">
      <c r="A567" s="3">
        <v>565</v>
      </c>
      <c r="B567" s="4" t="str">
        <f>"邱媛"</f>
        <v>邱媛</v>
      </c>
      <c r="C567" s="4" t="str">
        <f t="shared" si="99"/>
        <v xml:space="preserve">女        </v>
      </c>
      <c r="D567" s="4" t="str">
        <f t="shared" si="96"/>
        <v>汉族</v>
      </c>
      <c r="E567" s="5" t="str">
        <f>"黔南民族师范学院舞蹈学"</f>
        <v>黔南民族师范学院舞蹈学</v>
      </c>
      <c r="F567" s="5" t="str">
        <f t="shared" si="101"/>
        <v>本科学士</v>
      </c>
      <c r="G567" s="6" t="str">
        <f>"是"</f>
        <v>是</v>
      </c>
      <c r="H567" s="6" t="str">
        <f t="shared" si="91"/>
        <v>小学</v>
      </c>
      <c r="I567" s="6" t="str">
        <f t="shared" si="98"/>
        <v>107:音乐</v>
      </c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s="4" customFormat="1" ht="26.1" customHeight="1">
      <c r="A568" s="3">
        <v>566</v>
      </c>
      <c r="B568" s="4" t="str">
        <f>"黄玲娟"</f>
        <v>黄玲娟</v>
      </c>
      <c r="C568" s="4" t="str">
        <f t="shared" si="99"/>
        <v xml:space="preserve">女        </v>
      </c>
      <c r="D568" s="4" t="str">
        <f t="shared" si="96"/>
        <v>汉族</v>
      </c>
      <c r="E568" s="5" t="str">
        <f>"衡阳师范学院音乐表演"</f>
        <v>衡阳师范学院音乐表演</v>
      </c>
      <c r="F568" s="5" t="str">
        <f t="shared" si="101"/>
        <v>本科学士</v>
      </c>
      <c r="G568" s="6" t="str">
        <f>"不是"</f>
        <v>不是</v>
      </c>
      <c r="H568" s="6" t="str">
        <f t="shared" si="91"/>
        <v>小学</v>
      </c>
      <c r="I568" s="6" t="str">
        <f t="shared" si="98"/>
        <v>107:音乐</v>
      </c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s="4" customFormat="1" ht="26.1" customHeight="1">
      <c r="A569" s="3">
        <v>567</v>
      </c>
      <c r="B569" s="4" t="str">
        <f>"黄燕莹"</f>
        <v>黄燕莹</v>
      </c>
      <c r="C569" s="4" t="str">
        <f t="shared" si="99"/>
        <v xml:space="preserve">女        </v>
      </c>
      <c r="D569" s="4" t="str">
        <f t="shared" si="96"/>
        <v>汉族</v>
      </c>
      <c r="E569" s="5" t="str">
        <f>"广西师范大学漓江学院音乐学"</f>
        <v>广西师范大学漓江学院音乐学</v>
      </c>
      <c r="F569" s="5" t="str">
        <f t="shared" si="101"/>
        <v>本科学士</v>
      </c>
      <c r="G569" s="6" t="str">
        <f>"是"</f>
        <v>是</v>
      </c>
      <c r="H569" s="6" t="str">
        <f t="shared" si="91"/>
        <v>小学</v>
      </c>
      <c r="I569" s="6" t="str">
        <f t="shared" si="98"/>
        <v>107:音乐</v>
      </c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s="4" customFormat="1" ht="26.1" customHeight="1">
      <c r="A570" s="3">
        <v>568</v>
      </c>
      <c r="B570" s="4" t="str">
        <f>"张凤兰"</f>
        <v>张凤兰</v>
      </c>
      <c r="C570" s="4" t="str">
        <f t="shared" si="99"/>
        <v xml:space="preserve">女        </v>
      </c>
      <c r="D570" s="4" t="str">
        <f t="shared" si="96"/>
        <v>汉族</v>
      </c>
      <c r="E570" s="5" t="str">
        <f>"梧州学院音乐教育"</f>
        <v>梧州学院音乐教育</v>
      </c>
      <c r="F570" s="5" t="str">
        <f t="shared" si="101"/>
        <v>本科学士</v>
      </c>
      <c r="G570" s="6" t="str">
        <f>"不是"</f>
        <v>不是</v>
      </c>
      <c r="H570" s="6" t="str">
        <f t="shared" si="91"/>
        <v>小学</v>
      </c>
      <c r="I570" s="6" t="str">
        <f t="shared" si="98"/>
        <v>107:音乐</v>
      </c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s="4" customFormat="1" ht="26.1" customHeight="1">
      <c r="A571" s="3">
        <v>569</v>
      </c>
      <c r="B571" s="4" t="str">
        <f>"陈铭"</f>
        <v>陈铭</v>
      </c>
      <c r="C571" s="4" t="str">
        <f t="shared" si="99"/>
        <v xml:space="preserve">女        </v>
      </c>
      <c r="D571" s="4" t="str">
        <f t="shared" si="96"/>
        <v>汉族</v>
      </c>
      <c r="E571" s="5" t="str">
        <f>"广西师范学院师园学院音乐学"</f>
        <v>广西师范学院师园学院音乐学</v>
      </c>
      <c r="F571" s="5" t="str">
        <f t="shared" si="101"/>
        <v>本科学士</v>
      </c>
      <c r="G571" s="6" t="str">
        <f t="shared" ref="G571:G579" si="102">"是"</f>
        <v>是</v>
      </c>
      <c r="H571" s="6" t="str">
        <f t="shared" si="91"/>
        <v>小学</v>
      </c>
      <c r="I571" s="6" t="str">
        <f t="shared" si="98"/>
        <v>107:音乐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s="4" customFormat="1" ht="26.1" customHeight="1">
      <c r="A572" s="3">
        <v>570</v>
      </c>
      <c r="B572" s="4" t="str">
        <f>"曾玉安"</f>
        <v>曾玉安</v>
      </c>
      <c r="C572" s="4" t="str">
        <f t="shared" si="99"/>
        <v xml:space="preserve">女        </v>
      </c>
      <c r="D572" s="4" t="str">
        <f t="shared" si="96"/>
        <v>汉族</v>
      </c>
      <c r="E572" s="5" t="str">
        <f>"宝鸡文理学院音乐学"</f>
        <v>宝鸡文理学院音乐学</v>
      </c>
      <c r="F572" s="5" t="str">
        <f t="shared" si="101"/>
        <v>本科学士</v>
      </c>
      <c r="G572" s="6" t="str">
        <f t="shared" si="102"/>
        <v>是</v>
      </c>
      <c r="H572" s="6" t="str">
        <f t="shared" si="91"/>
        <v>小学</v>
      </c>
      <c r="I572" s="6" t="str">
        <f t="shared" si="98"/>
        <v>107:音乐</v>
      </c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s="4" customFormat="1" ht="26.1" customHeight="1">
      <c r="A573" s="3">
        <v>571</v>
      </c>
      <c r="B573" s="4" t="str">
        <f>"宋佳"</f>
        <v>宋佳</v>
      </c>
      <c r="C573" s="4" t="str">
        <f t="shared" si="99"/>
        <v xml:space="preserve">女        </v>
      </c>
      <c r="D573" s="4" t="str">
        <f t="shared" si="96"/>
        <v>汉族</v>
      </c>
      <c r="E573" s="5" t="str">
        <f>"广西师范大学漓江学院音乐学"</f>
        <v>广西师范大学漓江学院音乐学</v>
      </c>
      <c r="F573" s="5" t="str">
        <f t="shared" si="101"/>
        <v>本科学士</v>
      </c>
      <c r="G573" s="6" t="str">
        <f t="shared" si="102"/>
        <v>是</v>
      </c>
      <c r="H573" s="6" t="str">
        <f t="shared" si="91"/>
        <v>小学</v>
      </c>
      <c r="I573" s="6" t="str">
        <f t="shared" si="98"/>
        <v>107:音乐</v>
      </c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s="4" customFormat="1" ht="26.1" customHeight="1">
      <c r="A574" s="3">
        <v>572</v>
      </c>
      <c r="B574" s="4" t="str">
        <f>"李林霞"</f>
        <v>李林霞</v>
      </c>
      <c r="C574" s="4" t="str">
        <f t="shared" si="99"/>
        <v xml:space="preserve">女        </v>
      </c>
      <c r="D574" s="4" t="str">
        <f t="shared" si="96"/>
        <v>汉族</v>
      </c>
      <c r="E574" s="5" t="str">
        <f>"莆田学院音乐学"</f>
        <v>莆田学院音乐学</v>
      </c>
      <c r="F574" s="5" t="str">
        <f t="shared" si="101"/>
        <v>本科学士</v>
      </c>
      <c r="G574" s="6" t="str">
        <f t="shared" si="102"/>
        <v>是</v>
      </c>
      <c r="H574" s="6" t="str">
        <f t="shared" si="91"/>
        <v>小学</v>
      </c>
      <c r="I574" s="6" t="str">
        <f t="shared" si="98"/>
        <v>107:音乐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s="4" customFormat="1" ht="26.1" customHeight="1">
      <c r="A575" s="3">
        <v>573</v>
      </c>
      <c r="B575" s="4" t="str">
        <f>"罗伊娴"</f>
        <v>罗伊娴</v>
      </c>
      <c r="C575" s="4" t="str">
        <f t="shared" si="99"/>
        <v xml:space="preserve">女        </v>
      </c>
      <c r="D575" s="4" t="str">
        <f t="shared" si="96"/>
        <v>汉族</v>
      </c>
      <c r="E575" s="5" t="str">
        <f>"云南师范大学文理学院艺术教育"</f>
        <v>云南师范大学文理学院艺术教育</v>
      </c>
      <c r="F575" s="5" t="str">
        <f t="shared" si="101"/>
        <v>本科学士</v>
      </c>
      <c r="G575" s="6" t="str">
        <f t="shared" si="102"/>
        <v>是</v>
      </c>
      <c r="H575" s="6" t="str">
        <f t="shared" si="91"/>
        <v>小学</v>
      </c>
      <c r="I575" s="6" t="str">
        <f t="shared" si="98"/>
        <v>107:音乐</v>
      </c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s="4" customFormat="1" ht="26.1" customHeight="1">
      <c r="A576" s="3">
        <v>574</v>
      </c>
      <c r="B576" s="4" t="str">
        <f>"戚婉琳"</f>
        <v>戚婉琳</v>
      </c>
      <c r="C576" s="4" t="str">
        <f t="shared" si="99"/>
        <v xml:space="preserve">女        </v>
      </c>
      <c r="D576" s="4" t="str">
        <f t="shared" si="96"/>
        <v>汉族</v>
      </c>
      <c r="E576" s="5" t="str">
        <f>"广西师范大学漓江学院音乐学"</f>
        <v>广西师范大学漓江学院音乐学</v>
      </c>
      <c r="F576" s="5" t="str">
        <f t="shared" si="101"/>
        <v>本科学士</v>
      </c>
      <c r="G576" s="6" t="str">
        <f t="shared" si="102"/>
        <v>是</v>
      </c>
      <c r="H576" s="6" t="str">
        <f t="shared" si="91"/>
        <v>小学</v>
      </c>
      <c r="I576" s="6" t="str">
        <f t="shared" si="98"/>
        <v>107:音乐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s="4" customFormat="1" ht="26.1" customHeight="1">
      <c r="A577" s="3">
        <v>575</v>
      </c>
      <c r="B577" s="4" t="str">
        <f>"陈教琼"</f>
        <v>陈教琼</v>
      </c>
      <c r="C577" s="4" t="str">
        <f t="shared" si="99"/>
        <v xml:space="preserve">女        </v>
      </c>
      <c r="D577" s="4" t="str">
        <f t="shared" si="96"/>
        <v>汉族</v>
      </c>
      <c r="E577" s="5" t="str">
        <f>"湖北科技学院音乐学"</f>
        <v>湖北科技学院音乐学</v>
      </c>
      <c r="F577" s="5" t="str">
        <f t="shared" si="101"/>
        <v>本科学士</v>
      </c>
      <c r="G577" s="6" t="str">
        <f t="shared" si="102"/>
        <v>是</v>
      </c>
      <c r="H577" s="6" t="str">
        <f t="shared" si="91"/>
        <v>小学</v>
      </c>
      <c r="I577" s="6" t="str">
        <f t="shared" si="98"/>
        <v>107:音乐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s="4" customFormat="1" ht="26.1" customHeight="1">
      <c r="A578" s="3">
        <v>576</v>
      </c>
      <c r="B578" s="4" t="str">
        <f>"刘晨"</f>
        <v>刘晨</v>
      </c>
      <c r="C578" s="4" t="str">
        <f t="shared" si="99"/>
        <v xml:space="preserve">女        </v>
      </c>
      <c r="D578" s="4" t="str">
        <f t="shared" si="96"/>
        <v>汉族</v>
      </c>
      <c r="E578" s="5" t="str">
        <f>"玉林师范学院音乐学"</f>
        <v>玉林师范学院音乐学</v>
      </c>
      <c r="F578" s="5" t="str">
        <f t="shared" si="101"/>
        <v>本科学士</v>
      </c>
      <c r="G578" s="6" t="str">
        <f t="shared" si="102"/>
        <v>是</v>
      </c>
      <c r="H578" s="6" t="str">
        <f t="shared" si="91"/>
        <v>小学</v>
      </c>
      <c r="I578" s="6" t="str">
        <f t="shared" si="98"/>
        <v>107:音乐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s="4" customFormat="1" ht="26.1" customHeight="1">
      <c r="A579" s="3">
        <v>577</v>
      </c>
      <c r="B579" s="4" t="str">
        <f>"邓雅丹"</f>
        <v>邓雅丹</v>
      </c>
      <c r="C579" s="4" t="str">
        <f t="shared" si="99"/>
        <v xml:space="preserve">女        </v>
      </c>
      <c r="D579" s="4" t="str">
        <f t="shared" si="96"/>
        <v>汉族</v>
      </c>
      <c r="E579" s="5" t="str">
        <f>"贺州学院音乐教育"</f>
        <v>贺州学院音乐教育</v>
      </c>
      <c r="F579" s="5" t="str">
        <f t="shared" si="101"/>
        <v>本科学士</v>
      </c>
      <c r="G579" s="6" t="str">
        <f t="shared" si="102"/>
        <v>是</v>
      </c>
      <c r="H579" s="6" t="str">
        <f t="shared" si="91"/>
        <v>小学</v>
      </c>
      <c r="I579" s="6" t="str">
        <f t="shared" si="98"/>
        <v>107:音乐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s="4" customFormat="1" ht="26.1" customHeight="1">
      <c r="A580" s="3">
        <v>578</v>
      </c>
      <c r="B580" s="4" t="str">
        <f>"陈健良"</f>
        <v>陈健良</v>
      </c>
      <c r="C580" s="4" t="str">
        <f t="shared" si="99"/>
        <v xml:space="preserve">女        </v>
      </c>
      <c r="D580" s="4" t="str">
        <f t="shared" si="96"/>
        <v>汉族</v>
      </c>
      <c r="E580" s="5" t="str">
        <f>"武昌理工学院音乐学"</f>
        <v>武昌理工学院音乐学</v>
      </c>
      <c r="F580" s="5" t="str">
        <f t="shared" si="101"/>
        <v>本科学士</v>
      </c>
      <c r="G580" s="6" t="str">
        <f>"不是"</f>
        <v>不是</v>
      </c>
      <c r="H580" s="6" t="str">
        <f t="shared" si="91"/>
        <v>小学</v>
      </c>
      <c r="I580" s="6" t="str">
        <f t="shared" si="98"/>
        <v>107:音乐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s="4" customFormat="1" ht="26.1" customHeight="1">
      <c r="A581" s="3">
        <v>579</v>
      </c>
      <c r="B581" s="4" t="str">
        <f>"宋岱华"</f>
        <v>宋岱华</v>
      </c>
      <c r="C581" s="4" t="str">
        <f t="shared" si="99"/>
        <v xml:space="preserve">女        </v>
      </c>
      <c r="D581" s="4" t="str">
        <f t="shared" si="96"/>
        <v>汉族</v>
      </c>
      <c r="E581" s="5" t="str">
        <f>"广西艺术学院舞蹈表演与教育"</f>
        <v>广西艺术学院舞蹈表演与教育</v>
      </c>
      <c r="F581" s="5" t="str">
        <f t="shared" si="101"/>
        <v>本科学士</v>
      </c>
      <c r="G581" s="6" t="str">
        <f>"是"</f>
        <v>是</v>
      </c>
      <c r="H581" s="6" t="str">
        <f t="shared" si="91"/>
        <v>小学</v>
      </c>
      <c r="I581" s="6" t="str">
        <f t="shared" si="98"/>
        <v>107:音乐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s="4" customFormat="1" ht="26.1" customHeight="1">
      <c r="A582" s="3">
        <v>580</v>
      </c>
      <c r="B582" s="4" t="str">
        <f>"梁慧红"</f>
        <v>梁慧红</v>
      </c>
      <c r="C582" s="4" t="str">
        <f t="shared" si="99"/>
        <v xml:space="preserve">女        </v>
      </c>
      <c r="D582" s="4" t="str">
        <f>"壮族"</f>
        <v>壮族</v>
      </c>
      <c r="E582" s="5" t="str">
        <f>"玉林师范学院音乐学"</f>
        <v>玉林师范学院音乐学</v>
      </c>
      <c r="F582" s="5" t="str">
        <f t="shared" si="101"/>
        <v>本科学士</v>
      </c>
      <c r="G582" s="6" t="str">
        <f>"是"</f>
        <v>是</v>
      </c>
      <c r="H582" s="6" t="str">
        <f t="shared" si="91"/>
        <v>小学</v>
      </c>
      <c r="I582" s="6" t="str">
        <f t="shared" si="98"/>
        <v>107:音乐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s="4" customFormat="1" ht="26.1" customHeight="1">
      <c r="A583" s="3">
        <v>581</v>
      </c>
      <c r="B583" s="4" t="str">
        <f>"刘芳瑜"</f>
        <v>刘芳瑜</v>
      </c>
      <c r="C583" s="4" t="str">
        <f t="shared" si="99"/>
        <v xml:space="preserve">女        </v>
      </c>
      <c r="D583" s="4" t="str">
        <f t="shared" ref="D583:D644" si="103">"汉族"</f>
        <v>汉族</v>
      </c>
      <c r="E583" s="5" t="str">
        <f>"邵阳学院音乐学"</f>
        <v>邵阳学院音乐学</v>
      </c>
      <c r="F583" s="5" t="str">
        <f t="shared" si="101"/>
        <v>本科学士</v>
      </c>
      <c r="G583" s="6" t="str">
        <f>"是"</f>
        <v>是</v>
      </c>
      <c r="H583" s="6" t="str">
        <f t="shared" si="91"/>
        <v>小学</v>
      </c>
      <c r="I583" s="6" t="str">
        <f t="shared" si="98"/>
        <v>107:音乐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s="4" customFormat="1" ht="26.1" customHeight="1">
      <c r="A584" s="3">
        <v>582</v>
      </c>
      <c r="B584" s="4" t="str">
        <f>"吕梦滢"</f>
        <v>吕梦滢</v>
      </c>
      <c r="C584" s="4" t="str">
        <f t="shared" si="99"/>
        <v xml:space="preserve">女        </v>
      </c>
      <c r="D584" s="4" t="str">
        <f t="shared" si="103"/>
        <v>汉族</v>
      </c>
      <c r="E584" s="5" t="str">
        <f>"桂林师范高等专科学校音乐教育"</f>
        <v>桂林师范高等专科学校音乐教育</v>
      </c>
      <c r="F584" s="5" t="str">
        <f>"专科无学位"</f>
        <v>专科无学位</v>
      </c>
      <c r="G584" s="6" t="str">
        <f>"是"</f>
        <v>是</v>
      </c>
      <c r="H584" s="6" t="str">
        <f t="shared" si="91"/>
        <v>小学</v>
      </c>
      <c r="I584" s="6" t="str">
        <f t="shared" si="98"/>
        <v>107:音乐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s="4" customFormat="1" ht="26.1" customHeight="1">
      <c r="A585" s="3">
        <v>583</v>
      </c>
      <c r="B585" s="4" t="str">
        <f>"卢春佳"</f>
        <v>卢春佳</v>
      </c>
      <c r="C585" s="4" t="str">
        <f t="shared" si="99"/>
        <v xml:space="preserve">女        </v>
      </c>
      <c r="D585" s="4" t="str">
        <f t="shared" si="103"/>
        <v>汉族</v>
      </c>
      <c r="E585" s="5" t="str">
        <f>"广西师范大学漓江学院音乐学"</f>
        <v>广西师范大学漓江学院音乐学</v>
      </c>
      <c r="F585" s="5" t="str">
        <f t="shared" ref="F585:F591" si="104">"本科学士"</f>
        <v>本科学士</v>
      </c>
      <c r="G585" s="6" t="str">
        <f>"是"</f>
        <v>是</v>
      </c>
      <c r="H585" s="6" t="str">
        <f t="shared" ref="H585:H644" si="105">"小学"</f>
        <v>小学</v>
      </c>
      <c r="I585" s="6" t="str">
        <f t="shared" si="98"/>
        <v>107:音乐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s="4" customFormat="1" ht="26.1" customHeight="1">
      <c r="A586" s="3">
        <v>584</v>
      </c>
      <c r="B586" s="4" t="str">
        <f>"宁奕涵"</f>
        <v>宁奕涵</v>
      </c>
      <c r="C586" s="4" t="str">
        <f t="shared" si="99"/>
        <v xml:space="preserve">女        </v>
      </c>
      <c r="D586" s="4" t="str">
        <f t="shared" si="103"/>
        <v>汉族</v>
      </c>
      <c r="E586" s="5" t="str">
        <f>"商丘师范学院汉语言文学音乐表演双学位"</f>
        <v>商丘师范学院汉语言文学音乐表演双学位</v>
      </c>
      <c r="F586" s="5" t="str">
        <f t="shared" si="104"/>
        <v>本科学士</v>
      </c>
      <c r="G586" s="6" t="str">
        <f>"不是"</f>
        <v>不是</v>
      </c>
      <c r="H586" s="6" t="str">
        <f t="shared" si="105"/>
        <v>小学</v>
      </c>
      <c r="I586" s="6" t="str">
        <f t="shared" si="98"/>
        <v>107:音乐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s="4" customFormat="1" ht="26.1" customHeight="1">
      <c r="A587" s="3">
        <v>585</v>
      </c>
      <c r="B587" s="4" t="str">
        <f>"蒋文霜"</f>
        <v>蒋文霜</v>
      </c>
      <c r="C587" s="4" t="str">
        <f t="shared" si="99"/>
        <v xml:space="preserve">女        </v>
      </c>
      <c r="D587" s="4" t="str">
        <f t="shared" si="103"/>
        <v>汉族</v>
      </c>
      <c r="E587" s="5" t="str">
        <f>"邵阳学院舞蹈学"</f>
        <v>邵阳学院舞蹈学</v>
      </c>
      <c r="F587" s="5" t="str">
        <f t="shared" si="104"/>
        <v>本科学士</v>
      </c>
      <c r="G587" s="6" t="str">
        <f>"是"</f>
        <v>是</v>
      </c>
      <c r="H587" s="6" t="str">
        <f t="shared" si="105"/>
        <v>小学</v>
      </c>
      <c r="I587" s="6" t="str">
        <f t="shared" si="98"/>
        <v>107:音乐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s="4" customFormat="1" ht="26.1" customHeight="1">
      <c r="A588" s="3">
        <v>586</v>
      </c>
      <c r="B588" s="4" t="str">
        <f>"杨弋瑶"</f>
        <v>杨弋瑶</v>
      </c>
      <c r="C588" s="4" t="str">
        <f t="shared" si="99"/>
        <v xml:space="preserve">女        </v>
      </c>
      <c r="D588" s="4" t="str">
        <f t="shared" si="103"/>
        <v>汉族</v>
      </c>
      <c r="E588" s="5" t="str">
        <f>"广西艺术学院音乐表演"</f>
        <v>广西艺术学院音乐表演</v>
      </c>
      <c r="F588" s="5" t="str">
        <f t="shared" si="104"/>
        <v>本科学士</v>
      </c>
      <c r="G588" s="6" t="str">
        <f>"不是"</f>
        <v>不是</v>
      </c>
      <c r="H588" s="6" t="str">
        <f t="shared" si="105"/>
        <v>小学</v>
      </c>
      <c r="I588" s="6" t="str">
        <f t="shared" si="98"/>
        <v>107:音乐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s="4" customFormat="1" ht="26.1" customHeight="1">
      <c r="A589" s="3">
        <v>587</v>
      </c>
      <c r="B589" s="4" t="str">
        <f>"陈倩"</f>
        <v>陈倩</v>
      </c>
      <c r="C589" s="4" t="str">
        <f t="shared" si="99"/>
        <v xml:space="preserve">女        </v>
      </c>
      <c r="D589" s="4" t="str">
        <f t="shared" si="103"/>
        <v>汉族</v>
      </c>
      <c r="E589" s="5" t="str">
        <f>"玉林师范学院舞蹈学"</f>
        <v>玉林师范学院舞蹈学</v>
      </c>
      <c r="F589" s="5" t="str">
        <f t="shared" si="104"/>
        <v>本科学士</v>
      </c>
      <c r="G589" s="6" t="str">
        <f>"是"</f>
        <v>是</v>
      </c>
      <c r="H589" s="6" t="str">
        <f t="shared" si="105"/>
        <v>小学</v>
      </c>
      <c r="I589" s="6" t="str">
        <f t="shared" si="98"/>
        <v>107:音乐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s="4" customFormat="1" ht="26.1" customHeight="1">
      <c r="A590" s="3">
        <v>588</v>
      </c>
      <c r="B590" s="4" t="str">
        <f>"梁丁敏"</f>
        <v>梁丁敏</v>
      </c>
      <c r="C590" s="4" t="str">
        <f t="shared" si="99"/>
        <v xml:space="preserve">女        </v>
      </c>
      <c r="D590" s="4" t="str">
        <f t="shared" si="103"/>
        <v>汉族</v>
      </c>
      <c r="E590" s="5" t="str">
        <f>"玉林师范学院音乐学"</f>
        <v>玉林师范学院音乐学</v>
      </c>
      <c r="F590" s="5" t="str">
        <f t="shared" si="104"/>
        <v>本科学士</v>
      </c>
      <c r="G590" s="6" t="str">
        <f>"是"</f>
        <v>是</v>
      </c>
      <c r="H590" s="6" t="str">
        <f t="shared" si="105"/>
        <v>小学</v>
      </c>
      <c r="I590" s="6" t="str">
        <f t="shared" si="98"/>
        <v>107:音乐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s="4" customFormat="1" ht="26.1" customHeight="1">
      <c r="A591" s="3">
        <v>589</v>
      </c>
      <c r="B591" s="4" t="str">
        <f>"梁曼利"</f>
        <v>梁曼利</v>
      </c>
      <c r="C591" s="4" t="str">
        <f t="shared" si="99"/>
        <v xml:space="preserve">女        </v>
      </c>
      <c r="D591" s="4" t="str">
        <f t="shared" si="103"/>
        <v>汉族</v>
      </c>
      <c r="E591" s="5" t="str">
        <f>"玉林师范学院舞蹈学"</f>
        <v>玉林师范学院舞蹈学</v>
      </c>
      <c r="F591" s="5" t="str">
        <f t="shared" si="104"/>
        <v>本科学士</v>
      </c>
      <c r="G591" s="6" t="str">
        <f>"是"</f>
        <v>是</v>
      </c>
      <c r="H591" s="6" t="str">
        <f t="shared" si="105"/>
        <v>小学</v>
      </c>
      <c r="I591" s="6" t="str">
        <f t="shared" si="98"/>
        <v>107:音乐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s="4" customFormat="1" ht="26.1" customHeight="1">
      <c r="A592" s="3">
        <v>590</v>
      </c>
      <c r="B592" s="4" t="str">
        <f>"陈婷"</f>
        <v>陈婷</v>
      </c>
      <c r="C592" s="4" t="str">
        <f>"女        "</f>
        <v xml:space="preserve">女        </v>
      </c>
      <c r="D592" s="4" t="str">
        <f t="shared" si="103"/>
        <v>汉族</v>
      </c>
      <c r="E592" s="5" t="str">
        <f>"广西师范学院艺术设计"</f>
        <v>广西师范学院艺术设计</v>
      </c>
      <c r="F592" s="5" t="str">
        <f>"本科学士"</f>
        <v>本科学士</v>
      </c>
      <c r="G592" s="6" t="str">
        <f>"不是"</f>
        <v>不是</v>
      </c>
      <c r="H592" s="6" t="str">
        <f t="shared" si="105"/>
        <v>小学</v>
      </c>
      <c r="I592" s="6" t="str">
        <f t="shared" ref="I592:I644" si="106">"108:美术"</f>
        <v>108:美术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s="4" customFormat="1" ht="26.1" customHeight="1">
      <c r="A593" s="3">
        <v>591</v>
      </c>
      <c r="B593" s="4" t="str">
        <f>"谢镇安"</f>
        <v>谢镇安</v>
      </c>
      <c r="C593" s="4" t="str">
        <f>"男        "</f>
        <v xml:space="preserve">男        </v>
      </c>
      <c r="D593" s="4" t="str">
        <f t="shared" si="103"/>
        <v>汉族</v>
      </c>
      <c r="E593" s="5" t="str">
        <f>"河池学院环境设计"</f>
        <v>河池学院环境设计</v>
      </c>
      <c r="F593" s="5" t="str">
        <f>"本科学士"</f>
        <v>本科学士</v>
      </c>
      <c r="G593" s="6" t="str">
        <f>"不是"</f>
        <v>不是</v>
      </c>
      <c r="H593" s="6" t="str">
        <f t="shared" si="105"/>
        <v>小学</v>
      </c>
      <c r="I593" s="6" t="str">
        <f t="shared" si="106"/>
        <v>108:美术</v>
      </c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s="4" customFormat="1" ht="26.1" customHeight="1">
      <c r="A594" s="3">
        <v>592</v>
      </c>
      <c r="B594" s="4" t="str">
        <f>"刘上榕"</f>
        <v>刘上榕</v>
      </c>
      <c r="C594" s="4" t="str">
        <f t="shared" ref="C594:C600" si="107">"女        "</f>
        <v xml:space="preserve">女        </v>
      </c>
      <c r="D594" s="4" t="str">
        <f t="shared" si="103"/>
        <v>汉族</v>
      </c>
      <c r="E594" s="5" t="str">
        <f>"钦州学院美术教育"</f>
        <v>钦州学院美术教育</v>
      </c>
      <c r="F594" s="5" t="str">
        <f>"本科学士"</f>
        <v>本科学士</v>
      </c>
      <c r="G594" s="6" t="str">
        <f>"不是"</f>
        <v>不是</v>
      </c>
      <c r="H594" s="6" t="str">
        <f t="shared" si="105"/>
        <v>小学</v>
      </c>
      <c r="I594" s="6" t="str">
        <f t="shared" si="106"/>
        <v>108:美术</v>
      </c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s="4" customFormat="1" ht="26.1" customHeight="1">
      <c r="A595" s="3">
        <v>593</v>
      </c>
      <c r="B595" s="4" t="str">
        <f>"宁建珊"</f>
        <v>宁建珊</v>
      </c>
      <c r="C595" s="4" t="str">
        <f t="shared" si="107"/>
        <v xml:space="preserve">女        </v>
      </c>
      <c r="D595" s="4" t="str">
        <f t="shared" si="103"/>
        <v>汉族</v>
      </c>
      <c r="E595" s="5" t="str">
        <f>"广西教育学院美术教育"</f>
        <v>广西教育学院美术教育</v>
      </c>
      <c r="F595" s="5" t="str">
        <f>"专科无学位"</f>
        <v>专科无学位</v>
      </c>
      <c r="G595" s="6" t="str">
        <f>"是"</f>
        <v>是</v>
      </c>
      <c r="H595" s="6" t="str">
        <f t="shared" si="105"/>
        <v>小学</v>
      </c>
      <c r="I595" s="6" t="str">
        <f t="shared" si="106"/>
        <v>108:美术</v>
      </c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s="4" customFormat="1" ht="26.1" customHeight="1">
      <c r="A596" s="3">
        <v>594</v>
      </c>
      <c r="B596" s="4" t="str">
        <f>"张聚"</f>
        <v>张聚</v>
      </c>
      <c r="C596" s="4" t="str">
        <f t="shared" si="107"/>
        <v xml:space="preserve">女        </v>
      </c>
      <c r="D596" s="4" t="str">
        <f t="shared" si="103"/>
        <v>汉族</v>
      </c>
      <c r="E596" s="5" t="str">
        <f>"北海艺术设计学院环境艺术设计"</f>
        <v>北海艺术设计学院环境艺术设计</v>
      </c>
      <c r="F596" s="5" t="str">
        <f>"本科学士"</f>
        <v>本科学士</v>
      </c>
      <c r="G596" s="6" t="str">
        <f>"不是"</f>
        <v>不是</v>
      </c>
      <c r="H596" s="6" t="str">
        <f t="shared" si="105"/>
        <v>小学</v>
      </c>
      <c r="I596" s="6" t="str">
        <f t="shared" si="106"/>
        <v>108:美术</v>
      </c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s="4" customFormat="1" ht="26.1" customHeight="1">
      <c r="A597" s="3">
        <v>595</v>
      </c>
      <c r="B597" s="4" t="str">
        <f>"李凤"</f>
        <v>李凤</v>
      </c>
      <c r="C597" s="4" t="str">
        <f t="shared" si="107"/>
        <v xml:space="preserve">女        </v>
      </c>
      <c r="D597" s="4" t="str">
        <f t="shared" si="103"/>
        <v>汉族</v>
      </c>
      <c r="E597" s="5" t="str">
        <f>"广西师范大学艺术设计"</f>
        <v>广西师范大学艺术设计</v>
      </c>
      <c r="F597" s="5" t="str">
        <f>"本科无学位"</f>
        <v>本科无学位</v>
      </c>
      <c r="G597" s="6" t="str">
        <f>"是"</f>
        <v>是</v>
      </c>
      <c r="H597" s="6" t="str">
        <f t="shared" si="105"/>
        <v>小学</v>
      </c>
      <c r="I597" s="6" t="str">
        <f t="shared" si="106"/>
        <v>108:美术</v>
      </c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s="4" customFormat="1" ht="26.1" customHeight="1">
      <c r="A598" s="3">
        <v>596</v>
      </c>
      <c r="B598" s="4" t="str">
        <f>"钟越"</f>
        <v>钟越</v>
      </c>
      <c r="C598" s="4" t="str">
        <f t="shared" si="107"/>
        <v xml:space="preserve">女        </v>
      </c>
      <c r="D598" s="4" t="str">
        <f t="shared" si="103"/>
        <v>汉族</v>
      </c>
      <c r="E598" s="5" t="str">
        <f>"广西民族大学相思湖学院艺术设计"</f>
        <v>广西民族大学相思湖学院艺术设计</v>
      </c>
      <c r="F598" s="5" t="str">
        <f t="shared" ref="F598:F603" si="108">"本科学士"</f>
        <v>本科学士</v>
      </c>
      <c r="G598" s="6" t="str">
        <f>"不是"</f>
        <v>不是</v>
      </c>
      <c r="H598" s="6" t="str">
        <f t="shared" si="105"/>
        <v>小学</v>
      </c>
      <c r="I598" s="6" t="str">
        <f t="shared" si="106"/>
        <v>108:美术</v>
      </c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s="4" customFormat="1" ht="26.1" customHeight="1">
      <c r="A599" s="3">
        <v>597</v>
      </c>
      <c r="B599" s="4" t="str">
        <f>"文伟琼"</f>
        <v>文伟琼</v>
      </c>
      <c r="C599" s="4" t="str">
        <f t="shared" si="107"/>
        <v xml:space="preserve">女        </v>
      </c>
      <c r="D599" s="4" t="str">
        <f t="shared" si="103"/>
        <v>汉族</v>
      </c>
      <c r="E599" s="5" t="str">
        <f>"广西工学院艺术设计"</f>
        <v>广西工学院艺术设计</v>
      </c>
      <c r="F599" s="5" t="str">
        <f t="shared" si="108"/>
        <v>本科学士</v>
      </c>
      <c r="G599" s="6" t="str">
        <f>"不是"</f>
        <v>不是</v>
      </c>
      <c r="H599" s="6" t="str">
        <f t="shared" si="105"/>
        <v>小学</v>
      </c>
      <c r="I599" s="6" t="str">
        <f t="shared" si="106"/>
        <v>108:美术</v>
      </c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s="4" customFormat="1" ht="26.1" customHeight="1">
      <c r="A600" s="3">
        <v>598</v>
      </c>
      <c r="B600" s="4" t="str">
        <f>"曾春梅"</f>
        <v>曾春梅</v>
      </c>
      <c r="C600" s="4" t="str">
        <f t="shared" si="107"/>
        <v xml:space="preserve">女        </v>
      </c>
      <c r="D600" s="4" t="str">
        <f t="shared" si="103"/>
        <v>汉族</v>
      </c>
      <c r="E600" s="5" t="str">
        <f>"北方民族大学艺术设计"</f>
        <v>北方民族大学艺术设计</v>
      </c>
      <c r="F600" s="5" t="str">
        <f t="shared" si="108"/>
        <v>本科学士</v>
      </c>
      <c r="G600" s="6" t="str">
        <f>"不是"</f>
        <v>不是</v>
      </c>
      <c r="H600" s="6" t="str">
        <f t="shared" si="105"/>
        <v>小学</v>
      </c>
      <c r="I600" s="6" t="str">
        <f t="shared" si="106"/>
        <v>108:美术</v>
      </c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s="4" customFormat="1" ht="26.1" customHeight="1">
      <c r="A601" s="3">
        <v>599</v>
      </c>
      <c r="B601" s="4" t="str">
        <f>"陈志斌"</f>
        <v>陈志斌</v>
      </c>
      <c r="C601" s="4" t="str">
        <f>"男        "</f>
        <v xml:space="preserve">男        </v>
      </c>
      <c r="D601" s="4" t="str">
        <f t="shared" si="103"/>
        <v>汉族</v>
      </c>
      <c r="E601" s="5" t="str">
        <f>"广东省肇庆学院美术学"</f>
        <v>广东省肇庆学院美术学</v>
      </c>
      <c r="F601" s="5" t="str">
        <f t="shared" si="108"/>
        <v>本科学士</v>
      </c>
      <c r="G601" s="6" t="str">
        <f>"是"</f>
        <v>是</v>
      </c>
      <c r="H601" s="6" t="str">
        <f t="shared" si="105"/>
        <v>小学</v>
      </c>
      <c r="I601" s="6" t="str">
        <f t="shared" si="106"/>
        <v>108:美术</v>
      </c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s="4" customFormat="1" ht="26.1" customHeight="1">
      <c r="A602" s="3">
        <v>600</v>
      </c>
      <c r="B602" s="4" t="str">
        <f>"徐爱彬"</f>
        <v>徐爱彬</v>
      </c>
      <c r="C602" s="4" t="str">
        <f t="shared" ref="C602:C635" si="109">"女        "</f>
        <v xml:space="preserve">女        </v>
      </c>
      <c r="D602" s="4" t="str">
        <f t="shared" si="103"/>
        <v>汉族</v>
      </c>
      <c r="E602" s="5" t="str">
        <f>"广西师范大学艺术设计广告设计"</f>
        <v>广西师范大学艺术设计广告设计</v>
      </c>
      <c r="F602" s="5" t="str">
        <f t="shared" si="108"/>
        <v>本科学士</v>
      </c>
      <c r="G602" s="6" t="str">
        <f>"不是"</f>
        <v>不是</v>
      </c>
      <c r="H602" s="6" t="str">
        <f t="shared" si="105"/>
        <v>小学</v>
      </c>
      <c r="I602" s="6" t="str">
        <f t="shared" si="106"/>
        <v>108:美术</v>
      </c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s="4" customFormat="1" ht="26.1" customHeight="1">
      <c r="A603" s="3">
        <v>601</v>
      </c>
      <c r="B603" s="4" t="str">
        <f>"陈霞"</f>
        <v>陈霞</v>
      </c>
      <c r="C603" s="4" t="str">
        <f t="shared" si="109"/>
        <v xml:space="preserve">女        </v>
      </c>
      <c r="D603" s="4" t="str">
        <f t="shared" si="103"/>
        <v>汉族</v>
      </c>
      <c r="E603" s="5" t="str">
        <f>"嘉应学院艺术设计"</f>
        <v>嘉应学院艺术设计</v>
      </c>
      <c r="F603" s="5" t="str">
        <f t="shared" si="108"/>
        <v>本科学士</v>
      </c>
      <c r="G603" s="6" t="str">
        <f>"不是"</f>
        <v>不是</v>
      </c>
      <c r="H603" s="6" t="str">
        <f t="shared" si="105"/>
        <v>小学</v>
      </c>
      <c r="I603" s="6" t="str">
        <f t="shared" si="106"/>
        <v>108:美术</v>
      </c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s="4" customFormat="1" ht="26.1" customHeight="1">
      <c r="A604" s="3">
        <v>602</v>
      </c>
      <c r="B604" s="4" t="str">
        <f>"周琼"</f>
        <v>周琼</v>
      </c>
      <c r="C604" s="4" t="str">
        <f t="shared" si="109"/>
        <v xml:space="preserve">女        </v>
      </c>
      <c r="D604" s="4" t="str">
        <f t="shared" si="103"/>
        <v>汉族</v>
      </c>
      <c r="E604" s="5" t="str">
        <f>"桂林师范高等专科学校美术教育"</f>
        <v>桂林师范高等专科学校美术教育</v>
      </c>
      <c r="F604" s="5" t="str">
        <f>"专科无学位"</f>
        <v>专科无学位</v>
      </c>
      <c r="G604" s="6" t="str">
        <f>"是"</f>
        <v>是</v>
      </c>
      <c r="H604" s="6" t="str">
        <f t="shared" si="105"/>
        <v>小学</v>
      </c>
      <c r="I604" s="6" t="str">
        <f t="shared" si="106"/>
        <v>108:美术</v>
      </c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s="4" customFormat="1" ht="26.1" customHeight="1">
      <c r="A605" s="3">
        <v>603</v>
      </c>
      <c r="B605" s="4" t="str">
        <f>"黄诗圆"</f>
        <v>黄诗圆</v>
      </c>
      <c r="C605" s="4" t="str">
        <f t="shared" si="109"/>
        <v xml:space="preserve">女        </v>
      </c>
      <c r="D605" s="4" t="str">
        <f t="shared" si="103"/>
        <v>汉族</v>
      </c>
      <c r="E605" s="5" t="str">
        <f>"桂林电子科技大学视觉传达设计"</f>
        <v>桂林电子科技大学视觉传达设计</v>
      </c>
      <c r="F605" s="5" t="str">
        <f t="shared" ref="F605:F619" si="110">"本科学士"</f>
        <v>本科学士</v>
      </c>
      <c r="G605" s="6" t="str">
        <f>"不是"</f>
        <v>不是</v>
      </c>
      <c r="H605" s="6" t="str">
        <f t="shared" si="105"/>
        <v>小学</v>
      </c>
      <c r="I605" s="6" t="str">
        <f t="shared" si="106"/>
        <v>108:美术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s="4" customFormat="1" ht="26.1" customHeight="1">
      <c r="A606" s="3">
        <v>604</v>
      </c>
      <c r="B606" s="4" t="str">
        <f>"谢家敏"</f>
        <v>谢家敏</v>
      </c>
      <c r="C606" s="4" t="str">
        <f t="shared" si="109"/>
        <v xml:space="preserve">女        </v>
      </c>
      <c r="D606" s="4" t="str">
        <f t="shared" si="103"/>
        <v>汉族</v>
      </c>
      <c r="E606" s="5" t="str">
        <f>"百色学院艺术设计"</f>
        <v>百色学院艺术设计</v>
      </c>
      <c r="F606" s="5" t="str">
        <f t="shared" si="110"/>
        <v>本科学士</v>
      </c>
      <c r="G606" s="6" t="str">
        <f>"不是"</f>
        <v>不是</v>
      </c>
      <c r="H606" s="6" t="str">
        <f t="shared" si="105"/>
        <v>小学</v>
      </c>
      <c r="I606" s="6" t="str">
        <f t="shared" si="106"/>
        <v>108:美术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s="4" customFormat="1" ht="26.1" customHeight="1">
      <c r="A607" s="3">
        <v>605</v>
      </c>
      <c r="B607" s="4" t="str">
        <f>"刘思仪"</f>
        <v>刘思仪</v>
      </c>
      <c r="C607" s="4" t="str">
        <f t="shared" si="109"/>
        <v xml:space="preserve">女        </v>
      </c>
      <c r="D607" s="4" t="str">
        <f t="shared" si="103"/>
        <v>汉族</v>
      </c>
      <c r="E607" s="5" t="str">
        <f>"湖南女子学院服装与服饰设计"</f>
        <v>湖南女子学院服装与服饰设计</v>
      </c>
      <c r="F607" s="5" t="str">
        <f t="shared" si="110"/>
        <v>本科学士</v>
      </c>
      <c r="G607" s="6" t="str">
        <f>"不是"</f>
        <v>不是</v>
      </c>
      <c r="H607" s="6" t="str">
        <f t="shared" si="105"/>
        <v>小学</v>
      </c>
      <c r="I607" s="6" t="str">
        <f t="shared" si="106"/>
        <v>108:美术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s="4" customFormat="1" ht="26.1" customHeight="1">
      <c r="A608" s="3">
        <v>606</v>
      </c>
      <c r="B608" s="4" t="str">
        <f>"谢欣平"</f>
        <v>谢欣平</v>
      </c>
      <c r="C608" s="4" t="str">
        <f t="shared" si="109"/>
        <v xml:space="preserve">女        </v>
      </c>
      <c r="D608" s="4" t="str">
        <f t="shared" si="103"/>
        <v>汉族</v>
      </c>
      <c r="E608" s="5" t="str">
        <f>"重庆第二师范学院视觉传达设计"</f>
        <v>重庆第二师范学院视觉传达设计</v>
      </c>
      <c r="F608" s="5" t="str">
        <f t="shared" si="110"/>
        <v>本科学士</v>
      </c>
      <c r="G608" s="6" t="str">
        <f>"不是"</f>
        <v>不是</v>
      </c>
      <c r="H608" s="6" t="str">
        <f t="shared" si="105"/>
        <v>小学</v>
      </c>
      <c r="I608" s="6" t="str">
        <f t="shared" si="106"/>
        <v>108:美术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s="4" customFormat="1" ht="26.1" customHeight="1">
      <c r="A609" s="3">
        <v>607</v>
      </c>
      <c r="B609" s="4" t="str">
        <f>"唐佳莹"</f>
        <v>唐佳莹</v>
      </c>
      <c r="C609" s="4" t="str">
        <f t="shared" si="109"/>
        <v xml:space="preserve">女        </v>
      </c>
      <c r="D609" s="4" t="str">
        <f t="shared" si="103"/>
        <v>汉族</v>
      </c>
      <c r="E609" s="5" t="str">
        <f>"吉林大学珠海学院艺术设计"</f>
        <v>吉林大学珠海学院艺术设计</v>
      </c>
      <c r="F609" s="5" t="str">
        <f t="shared" si="110"/>
        <v>本科学士</v>
      </c>
      <c r="G609" s="6" t="str">
        <f>"不是"</f>
        <v>不是</v>
      </c>
      <c r="H609" s="6" t="str">
        <f t="shared" si="105"/>
        <v>小学</v>
      </c>
      <c r="I609" s="6" t="str">
        <f t="shared" si="106"/>
        <v>108:美术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s="4" customFormat="1" ht="26.1" customHeight="1">
      <c r="A610" s="3">
        <v>608</v>
      </c>
      <c r="B610" s="4" t="str">
        <f>"石斌玲"</f>
        <v>石斌玲</v>
      </c>
      <c r="C610" s="4" t="str">
        <f t="shared" si="109"/>
        <v xml:space="preserve">女        </v>
      </c>
      <c r="D610" s="4" t="str">
        <f t="shared" si="103"/>
        <v>汉族</v>
      </c>
      <c r="E610" s="5" t="str">
        <f>"海南师范大学美术教育学"</f>
        <v>海南师范大学美术教育学</v>
      </c>
      <c r="F610" s="5" t="str">
        <f t="shared" si="110"/>
        <v>本科学士</v>
      </c>
      <c r="G610" s="6" t="str">
        <f>"是"</f>
        <v>是</v>
      </c>
      <c r="H610" s="6" t="str">
        <f t="shared" si="105"/>
        <v>小学</v>
      </c>
      <c r="I610" s="6" t="str">
        <f t="shared" si="106"/>
        <v>108:美术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s="4" customFormat="1" ht="26.1" customHeight="1">
      <c r="A611" s="3">
        <v>609</v>
      </c>
      <c r="B611" s="4" t="str">
        <f>"李雯"</f>
        <v>李雯</v>
      </c>
      <c r="C611" s="4" t="str">
        <f t="shared" si="109"/>
        <v xml:space="preserve">女        </v>
      </c>
      <c r="D611" s="4" t="str">
        <f t="shared" si="103"/>
        <v>汉族</v>
      </c>
      <c r="E611" s="5" t="str">
        <f>"华南农业大学服装设计与工程"</f>
        <v>华南农业大学服装设计与工程</v>
      </c>
      <c r="F611" s="5" t="str">
        <f t="shared" si="110"/>
        <v>本科学士</v>
      </c>
      <c r="G611" s="6" t="str">
        <f t="shared" ref="G611:G616" si="111">"不是"</f>
        <v>不是</v>
      </c>
      <c r="H611" s="6" t="str">
        <f t="shared" si="105"/>
        <v>小学</v>
      </c>
      <c r="I611" s="6" t="str">
        <f t="shared" si="106"/>
        <v>108:美术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s="4" customFormat="1" ht="26.1" customHeight="1">
      <c r="A612" s="3">
        <v>610</v>
      </c>
      <c r="B612" s="4" t="str">
        <f>"陈海英"</f>
        <v>陈海英</v>
      </c>
      <c r="C612" s="4" t="str">
        <f t="shared" si="109"/>
        <v xml:space="preserve">女        </v>
      </c>
      <c r="D612" s="4" t="str">
        <f t="shared" si="103"/>
        <v>汉族</v>
      </c>
      <c r="E612" s="5" t="str">
        <f>"广西艺术学院美术史论"</f>
        <v>广西艺术学院美术史论</v>
      </c>
      <c r="F612" s="5" t="str">
        <f t="shared" si="110"/>
        <v>本科学士</v>
      </c>
      <c r="G612" s="6" t="str">
        <f t="shared" si="111"/>
        <v>不是</v>
      </c>
      <c r="H612" s="6" t="str">
        <f t="shared" si="105"/>
        <v>小学</v>
      </c>
      <c r="I612" s="6" t="str">
        <f t="shared" si="106"/>
        <v>108:美术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s="4" customFormat="1" ht="26.1" customHeight="1">
      <c r="A613" s="3">
        <v>611</v>
      </c>
      <c r="B613" s="4" t="str">
        <f>"杨远"</f>
        <v>杨远</v>
      </c>
      <c r="C613" s="4" t="str">
        <f t="shared" si="109"/>
        <v xml:space="preserve">女        </v>
      </c>
      <c r="D613" s="4" t="str">
        <f t="shared" si="103"/>
        <v>汉族</v>
      </c>
      <c r="E613" s="5" t="str">
        <f>"玉林师范学院艺术设计"</f>
        <v>玉林师范学院艺术设计</v>
      </c>
      <c r="F613" s="5" t="str">
        <f t="shared" si="110"/>
        <v>本科学士</v>
      </c>
      <c r="G613" s="6" t="str">
        <f t="shared" si="111"/>
        <v>不是</v>
      </c>
      <c r="H613" s="6" t="str">
        <f t="shared" si="105"/>
        <v>小学</v>
      </c>
      <c r="I613" s="6" t="str">
        <f t="shared" si="106"/>
        <v>108:美术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s="4" customFormat="1" ht="26.1" customHeight="1">
      <c r="A614" s="3">
        <v>612</v>
      </c>
      <c r="B614" s="4" t="str">
        <f>"庞欣"</f>
        <v>庞欣</v>
      </c>
      <c r="C614" s="4" t="str">
        <f t="shared" si="109"/>
        <v xml:space="preserve">女        </v>
      </c>
      <c r="D614" s="4" t="str">
        <f t="shared" si="103"/>
        <v>汉族</v>
      </c>
      <c r="E614" s="5" t="str">
        <f>"广西艺术学院美术学"</f>
        <v>广西艺术学院美术学</v>
      </c>
      <c r="F614" s="5" t="str">
        <f t="shared" si="110"/>
        <v>本科学士</v>
      </c>
      <c r="G614" s="6" t="str">
        <f t="shared" si="111"/>
        <v>不是</v>
      </c>
      <c r="H614" s="6" t="str">
        <f t="shared" si="105"/>
        <v>小学</v>
      </c>
      <c r="I614" s="6" t="str">
        <f t="shared" si="106"/>
        <v>108:美术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s="4" customFormat="1" ht="26.1" customHeight="1">
      <c r="A615" s="3">
        <v>613</v>
      </c>
      <c r="B615" s="4" t="str">
        <f>"宁美薇"</f>
        <v>宁美薇</v>
      </c>
      <c r="C615" s="4" t="str">
        <f t="shared" si="109"/>
        <v xml:space="preserve">女        </v>
      </c>
      <c r="D615" s="4" t="str">
        <f t="shared" si="103"/>
        <v>汉族</v>
      </c>
      <c r="E615" s="5" t="str">
        <f>"广西师范学院师园学院艺术设计"</f>
        <v>广西师范学院师园学院艺术设计</v>
      </c>
      <c r="F615" s="5" t="str">
        <f t="shared" si="110"/>
        <v>本科学士</v>
      </c>
      <c r="G615" s="6" t="str">
        <f t="shared" si="111"/>
        <v>不是</v>
      </c>
      <c r="H615" s="6" t="str">
        <f t="shared" si="105"/>
        <v>小学</v>
      </c>
      <c r="I615" s="6" t="str">
        <f t="shared" si="106"/>
        <v>108:美术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s="4" customFormat="1" ht="26.1" customHeight="1">
      <c r="A616" s="3">
        <v>614</v>
      </c>
      <c r="B616" s="4" t="str">
        <f>"何敏"</f>
        <v>何敏</v>
      </c>
      <c r="C616" s="4" t="str">
        <f t="shared" si="109"/>
        <v xml:space="preserve">女        </v>
      </c>
      <c r="D616" s="4" t="str">
        <f t="shared" si="103"/>
        <v>汉族</v>
      </c>
      <c r="E616" s="5" t="str">
        <f>"广西师范学院艺术设计"</f>
        <v>广西师范学院艺术设计</v>
      </c>
      <c r="F616" s="5" t="str">
        <f t="shared" si="110"/>
        <v>本科学士</v>
      </c>
      <c r="G616" s="6" t="str">
        <f t="shared" si="111"/>
        <v>不是</v>
      </c>
      <c r="H616" s="6" t="str">
        <f t="shared" si="105"/>
        <v>小学</v>
      </c>
      <c r="I616" s="6" t="str">
        <f t="shared" si="106"/>
        <v>108:美术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s="4" customFormat="1" ht="26.1" customHeight="1">
      <c r="A617" s="3">
        <v>615</v>
      </c>
      <c r="B617" s="4" t="str">
        <f>"甘翠玉"</f>
        <v>甘翠玉</v>
      </c>
      <c r="C617" s="4" t="str">
        <f t="shared" si="109"/>
        <v xml:space="preserve">女        </v>
      </c>
      <c r="D617" s="4" t="str">
        <f t="shared" si="103"/>
        <v>汉族</v>
      </c>
      <c r="E617" s="5" t="str">
        <f>"广西艺术学院美术教育"</f>
        <v>广西艺术学院美术教育</v>
      </c>
      <c r="F617" s="5" t="str">
        <f t="shared" si="110"/>
        <v>本科学士</v>
      </c>
      <c r="G617" s="6" t="str">
        <f>"是"</f>
        <v>是</v>
      </c>
      <c r="H617" s="6" t="str">
        <f t="shared" si="105"/>
        <v>小学</v>
      </c>
      <c r="I617" s="6" t="str">
        <f t="shared" si="106"/>
        <v>108:美术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s="4" customFormat="1" ht="26.1" customHeight="1">
      <c r="A618" s="3">
        <v>616</v>
      </c>
      <c r="B618" s="4" t="str">
        <f>"刘恩凤"</f>
        <v>刘恩凤</v>
      </c>
      <c r="C618" s="4" t="str">
        <f t="shared" si="109"/>
        <v xml:space="preserve">女        </v>
      </c>
      <c r="D618" s="4" t="str">
        <f t="shared" si="103"/>
        <v>汉族</v>
      </c>
      <c r="E618" s="5" t="str">
        <f>"广西艺术学院美术教育"</f>
        <v>广西艺术学院美术教育</v>
      </c>
      <c r="F618" s="5" t="str">
        <f t="shared" si="110"/>
        <v>本科学士</v>
      </c>
      <c r="G618" s="6" t="str">
        <f>"是"</f>
        <v>是</v>
      </c>
      <c r="H618" s="6" t="str">
        <f t="shared" si="105"/>
        <v>小学</v>
      </c>
      <c r="I618" s="6" t="str">
        <f t="shared" si="106"/>
        <v>108:美术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s="4" customFormat="1" ht="26.1" customHeight="1">
      <c r="A619" s="3">
        <v>617</v>
      </c>
      <c r="B619" s="4" t="str">
        <f>"周泽莉"</f>
        <v>周泽莉</v>
      </c>
      <c r="C619" s="4" t="str">
        <f t="shared" si="109"/>
        <v xml:space="preserve">女        </v>
      </c>
      <c r="D619" s="4" t="str">
        <f t="shared" si="103"/>
        <v>汉族</v>
      </c>
      <c r="E619" s="5" t="str">
        <f>"广西艺术学院绘画"</f>
        <v>广西艺术学院绘画</v>
      </c>
      <c r="F619" s="5" t="str">
        <f t="shared" si="110"/>
        <v>本科学士</v>
      </c>
      <c r="G619" s="6" t="str">
        <f>"不是"</f>
        <v>不是</v>
      </c>
      <c r="H619" s="6" t="str">
        <f t="shared" si="105"/>
        <v>小学</v>
      </c>
      <c r="I619" s="6" t="str">
        <f t="shared" si="106"/>
        <v>108:美术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s="4" customFormat="1" ht="26.1" customHeight="1">
      <c r="A620" s="3">
        <v>618</v>
      </c>
      <c r="B620" s="4" t="str">
        <f>"陈溪"</f>
        <v>陈溪</v>
      </c>
      <c r="C620" s="4" t="str">
        <f t="shared" si="109"/>
        <v xml:space="preserve">女        </v>
      </c>
      <c r="D620" s="4" t="str">
        <f t="shared" si="103"/>
        <v>汉族</v>
      </c>
      <c r="E620" s="5" t="str">
        <f>"柳州师范高等专科学校美术教育"</f>
        <v>柳州师范高等专科学校美术教育</v>
      </c>
      <c r="F620" s="5" t="str">
        <f>"专科无学位"</f>
        <v>专科无学位</v>
      </c>
      <c r="G620" s="6" t="str">
        <f>"是"</f>
        <v>是</v>
      </c>
      <c r="H620" s="6" t="str">
        <f t="shared" si="105"/>
        <v>小学</v>
      </c>
      <c r="I620" s="6" t="str">
        <f t="shared" si="106"/>
        <v>108:美术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s="4" customFormat="1" ht="26.1" customHeight="1">
      <c r="A621" s="3">
        <v>619</v>
      </c>
      <c r="B621" s="4" t="str">
        <f>"梁灿慧"</f>
        <v>梁灿慧</v>
      </c>
      <c r="C621" s="4" t="str">
        <f t="shared" si="109"/>
        <v xml:space="preserve">女        </v>
      </c>
      <c r="D621" s="4" t="str">
        <f t="shared" si="103"/>
        <v>汉族</v>
      </c>
      <c r="E621" s="5" t="str">
        <f>"广西艺术学院美术教育"</f>
        <v>广西艺术学院美术教育</v>
      </c>
      <c r="F621" s="5" t="str">
        <f>"本科学士"</f>
        <v>本科学士</v>
      </c>
      <c r="G621" s="6" t="str">
        <f>"是"</f>
        <v>是</v>
      </c>
      <c r="H621" s="6" t="str">
        <f t="shared" si="105"/>
        <v>小学</v>
      </c>
      <c r="I621" s="6" t="str">
        <f t="shared" si="106"/>
        <v>108:美术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s="4" customFormat="1" ht="26.1" customHeight="1">
      <c r="A622" s="3">
        <v>620</v>
      </c>
      <c r="B622" s="4" t="str">
        <f>"谢霄凌"</f>
        <v>谢霄凌</v>
      </c>
      <c r="C622" s="4" t="str">
        <f t="shared" si="109"/>
        <v xml:space="preserve">女        </v>
      </c>
      <c r="D622" s="4" t="str">
        <f t="shared" si="103"/>
        <v>汉族</v>
      </c>
      <c r="E622" s="5" t="str">
        <f>"玉林师范学院艺术设计"</f>
        <v>玉林师范学院艺术设计</v>
      </c>
      <c r="F622" s="5" t="str">
        <f>"本科学士"</f>
        <v>本科学士</v>
      </c>
      <c r="G622" s="6" t="str">
        <f>"不是"</f>
        <v>不是</v>
      </c>
      <c r="H622" s="6" t="str">
        <f t="shared" si="105"/>
        <v>小学</v>
      </c>
      <c r="I622" s="6" t="str">
        <f t="shared" si="106"/>
        <v>108:美术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s="4" customFormat="1" ht="26.1" customHeight="1">
      <c r="A623" s="3">
        <v>621</v>
      </c>
      <c r="B623" s="4" t="str">
        <f>"黄婷婷"</f>
        <v>黄婷婷</v>
      </c>
      <c r="C623" s="4" t="str">
        <f t="shared" si="109"/>
        <v xml:space="preserve">女        </v>
      </c>
      <c r="D623" s="4" t="str">
        <f t="shared" si="103"/>
        <v>汉族</v>
      </c>
      <c r="E623" s="5" t="str">
        <f>"桂林师范高等专科学校美术教育"</f>
        <v>桂林师范高等专科学校美术教育</v>
      </c>
      <c r="F623" s="5" t="str">
        <f>"专科无学位"</f>
        <v>专科无学位</v>
      </c>
      <c r="G623" s="6" t="str">
        <f>"是"</f>
        <v>是</v>
      </c>
      <c r="H623" s="6" t="str">
        <f t="shared" si="105"/>
        <v>小学</v>
      </c>
      <c r="I623" s="6" t="str">
        <f t="shared" si="106"/>
        <v>108:美术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s="4" customFormat="1" ht="26.1" customHeight="1">
      <c r="A624" s="3">
        <v>622</v>
      </c>
      <c r="B624" s="4" t="str">
        <f>"陈巧玲"</f>
        <v>陈巧玲</v>
      </c>
      <c r="C624" s="4" t="str">
        <f t="shared" si="109"/>
        <v xml:space="preserve">女        </v>
      </c>
      <c r="D624" s="4" t="str">
        <f t="shared" si="103"/>
        <v>汉族</v>
      </c>
      <c r="E624" s="5" t="str">
        <f>"岭南师范学院美术学"</f>
        <v>岭南师范学院美术学</v>
      </c>
      <c r="F624" s="5" t="str">
        <f>"本科学士"</f>
        <v>本科学士</v>
      </c>
      <c r="G624" s="6" t="str">
        <f>"是"</f>
        <v>是</v>
      </c>
      <c r="H624" s="6" t="str">
        <f t="shared" si="105"/>
        <v>小学</v>
      </c>
      <c r="I624" s="6" t="str">
        <f t="shared" si="106"/>
        <v>108:美术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s="4" customFormat="1" ht="26.1" customHeight="1">
      <c r="A625" s="3">
        <v>623</v>
      </c>
      <c r="B625" s="4" t="str">
        <f>"梁健宁"</f>
        <v>梁健宁</v>
      </c>
      <c r="C625" s="4" t="str">
        <f t="shared" si="109"/>
        <v xml:space="preserve">女        </v>
      </c>
      <c r="D625" s="4" t="str">
        <f t="shared" si="103"/>
        <v>汉族</v>
      </c>
      <c r="E625" s="5" t="str">
        <f>"集美大学艺术设计"</f>
        <v>集美大学艺术设计</v>
      </c>
      <c r="F625" s="5" t="str">
        <f>"本科学士"</f>
        <v>本科学士</v>
      </c>
      <c r="G625" s="6" t="str">
        <f>"不是"</f>
        <v>不是</v>
      </c>
      <c r="H625" s="6" t="str">
        <f t="shared" si="105"/>
        <v>小学</v>
      </c>
      <c r="I625" s="6" t="str">
        <f t="shared" si="106"/>
        <v>108:美术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s="4" customFormat="1" ht="26.1" customHeight="1">
      <c r="A626" s="3">
        <v>624</v>
      </c>
      <c r="B626" s="4" t="str">
        <f>"罗华丽"</f>
        <v>罗华丽</v>
      </c>
      <c r="C626" s="4" t="str">
        <f t="shared" si="109"/>
        <v xml:space="preserve">女        </v>
      </c>
      <c r="D626" s="4" t="str">
        <f t="shared" si="103"/>
        <v>汉族</v>
      </c>
      <c r="E626" s="5" t="str">
        <f>"广西师范大学环境设计"</f>
        <v>广西师范大学环境设计</v>
      </c>
      <c r="F626" s="5" t="str">
        <f>"本科学士"</f>
        <v>本科学士</v>
      </c>
      <c r="G626" s="6" t="str">
        <f>"不是"</f>
        <v>不是</v>
      </c>
      <c r="H626" s="6" t="str">
        <f t="shared" si="105"/>
        <v>小学</v>
      </c>
      <c r="I626" s="6" t="str">
        <f t="shared" si="106"/>
        <v>108:美术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s="4" customFormat="1" ht="26.1" customHeight="1">
      <c r="A627" s="3">
        <v>625</v>
      </c>
      <c r="B627" s="4" t="str">
        <f>"曾君"</f>
        <v>曾君</v>
      </c>
      <c r="C627" s="4" t="str">
        <f t="shared" si="109"/>
        <v xml:space="preserve">女        </v>
      </c>
      <c r="D627" s="4" t="str">
        <f t="shared" si="103"/>
        <v>汉族</v>
      </c>
      <c r="E627" s="5" t="str">
        <f>"广西幼儿师范高等专科学校美术教育"</f>
        <v>广西幼儿师范高等专科学校美术教育</v>
      </c>
      <c r="F627" s="5" t="str">
        <f>"专科无学位"</f>
        <v>专科无学位</v>
      </c>
      <c r="G627" s="6" t="str">
        <f>"是"</f>
        <v>是</v>
      </c>
      <c r="H627" s="6" t="str">
        <f t="shared" si="105"/>
        <v>小学</v>
      </c>
      <c r="I627" s="6" t="str">
        <f t="shared" si="106"/>
        <v>108:美术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s="4" customFormat="1" ht="26.1" customHeight="1">
      <c r="A628" s="3">
        <v>626</v>
      </c>
      <c r="B628" s="4" t="str">
        <f>"覃金凤"</f>
        <v>覃金凤</v>
      </c>
      <c r="C628" s="4" t="str">
        <f t="shared" si="109"/>
        <v xml:space="preserve">女        </v>
      </c>
      <c r="D628" s="4" t="str">
        <f t="shared" si="103"/>
        <v>汉族</v>
      </c>
      <c r="E628" s="5" t="str">
        <f>"广西民族大学相思湖学院艺术设计"</f>
        <v>广西民族大学相思湖学院艺术设计</v>
      </c>
      <c r="F628" s="5" t="str">
        <f>"本科学士"</f>
        <v>本科学士</v>
      </c>
      <c r="G628" s="6" t="str">
        <f>"不是"</f>
        <v>不是</v>
      </c>
      <c r="H628" s="6" t="str">
        <f t="shared" si="105"/>
        <v>小学</v>
      </c>
      <c r="I628" s="6" t="str">
        <f t="shared" si="106"/>
        <v>108:美术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s="4" customFormat="1" ht="26.1" customHeight="1">
      <c r="A629" s="3">
        <v>627</v>
      </c>
      <c r="B629" s="4" t="str">
        <f>"王玲"</f>
        <v>王玲</v>
      </c>
      <c r="C629" s="4" t="str">
        <f t="shared" si="109"/>
        <v xml:space="preserve">女        </v>
      </c>
      <c r="D629" s="4" t="str">
        <f t="shared" si="103"/>
        <v>汉族</v>
      </c>
      <c r="E629" s="5" t="str">
        <f>"昆明学院美术学"</f>
        <v>昆明学院美术学</v>
      </c>
      <c r="F629" s="5" t="str">
        <f>"本科学士"</f>
        <v>本科学士</v>
      </c>
      <c r="G629" s="6" t="str">
        <f>"是"</f>
        <v>是</v>
      </c>
      <c r="H629" s="6" t="str">
        <f t="shared" si="105"/>
        <v>小学</v>
      </c>
      <c r="I629" s="6" t="str">
        <f t="shared" si="106"/>
        <v>108:美术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s="4" customFormat="1" ht="26.1" customHeight="1">
      <c r="A630" s="3">
        <v>628</v>
      </c>
      <c r="B630" s="4" t="str">
        <f>"陈楚楚"</f>
        <v>陈楚楚</v>
      </c>
      <c r="C630" s="4" t="str">
        <f t="shared" si="109"/>
        <v xml:space="preserve">女        </v>
      </c>
      <c r="D630" s="4" t="str">
        <f t="shared" si="103"/>
        <v>汉族</v>
      </c>
      <c r="E630" s="5" t="str">
        <f>"桂林师范高等专科学校美术教育"</f>
        <v>桂林师范高等专科学校美术教育</v>
      </c>
      <c r="F630" s="5" t="str">
        <f>"专科无学位"</f>
        <v>专科无学位</v>
      </c>
      <c r="G630" s="6" t="str">
        <f>"是"</f>
        <v>是</v>
      </c>
      <c r="H630" s="6" t="str">
        <f t="shared" si="105"/>
        <v>小学</v>
      </c>
      <c r="I630" s="6" t="str">
        <f t="shared" si="106"/>
        <v>108:美术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s="4" customFormat="1" ht="26.1" customHeight="1">
      <c r="A631" s="3">
        <v>629</v>
      </c>
      <c r="B631" s="4" t="str">
        <f>"钟露"</f>
        <v>钟露</v>
      </c>
      <c r="C631" s="4" t="str">
        <f t="shared" si="109"/>
        <v xml:space="preserve">女        </v>
      </c>
      <c r="D631" s="4" t="str">
        <f t="shared" si="103"/>
        <v>汉族</v>
      </c>
      <c r="E631" s="5" t="str">
        <f>"广西桂林师范高等专科学校美术教育"</f>
        <v>广西桂林师范高等专科学校美术教育</v>
      </c>
      <c r="F631" s="5" t="str">
        <f>"专科无学位"</f>
        <v>专科无学位</v>
      </c>
      <c r="G631" s="6" t="str">
        <f>"是"</f>
        <v>是</v>
      </c>
      <c r="H631" s="6" t="str">
        <f t="shared" si="105"/>
        <v>小学</v>
      </c>
      <c r="I631" s="6" t="str">
        <f t="shared" si="106"/>
        <v>108:美术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s="4" customFormat="1" ht="26.1" customHeight="1">
      <c r="A632" s="3">
        <v>630</v>
      </c>
      <c r="B632" s="4" t="str">
        <f>"陈应华"</f>
        <v>陈应华</v>
      </c>
      <c r="C632" s="4" t="str">
        <f t="shared" si="109"/>
        <v xml:space="preserve">女        </v>
      </c>
      <c r="D632" s="4" t="str">
        <f t="shared" si="103"/>
        <v>汉族</v>
      </c>
      <c r="E632" s="5" t="str">
        <f>"桂林师范高等专科学校美术教育"</f>
        <v>桂林师范高等专科学校美术教育</v>
      </c>
      <c r="F632" s="5" t="str">
        <f>"专科无学位"</f>
        <v>专科无学位</v>
      </c>
      <c r="G632" s="6" t="str">
        <f>"是"</f>
        <v>是</v>
      </c>
      <c r="H632" s="6" t="str">
        <f t="shared" si="105"/>
        <v>小学</v>
      </c>
      <c r="I632" s="6" t="str">
        <f t="shared" si="106"/>
        <v>108:美术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s="4" customFormat="1" ht="26.1" customHeight="1">
      <c r="A633" s="3">
        <v>631</v>
      </c>
      <c r="B633" s="4" t="str">
        <f>"杨洁"</f>
        <v>杨洁</v>
      </c>
      <c r="C633" s="4" t="str">
        <f t="shared" si="109"/>
        <v xml:space="preserve">女        </v>
      </c>
      <c r="D633" s="4" t="str">
        <f t="shared" si="103"/>
        <v>汉族</v>
      </c>
      <c r="E633" s="5" t="str">
        <f>"广西师范学院师园学院艺术系美术学"</f>
        <v>广西师范学院师园学院艺术系美术学</v>
      </c>
      <c r="F633" s="5" t="str">
        <f t="shared" ref="F633:F639" si="112">"本科学士"</f>
        <v>本科学士</v>
      </c>
      <c r="G633" s="6" t="str">
        <f>"是"</f>
        <v>是</v>
      </c>
      <c r="H633" s="6" t="str">
        <f t="shared" si="105"/>
        <v>小学</v>
      </c>
      <c r="I633" s="6" t="str">
        <f t="shared" si="106"/>
        <v>108:美术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s="4" customFormat="1" ht="26.1" customHeight="1">
      <c r="A634" s="3">
        <v>632</v>
      </c>
      <c r="B634" s="4" t="str">
        <f>"梁耀方"</f>
        <v>梁耀方</v>
      </c>
      <c r="C634" s="4" t="str">
        <f t="shared" si="109"/>
        <v xml:space="preserve">女        </v>
      </c>
      <c r="D634" s="4" t="str">
        <f t="shared" si="103"/>
        <v>汉族</v>
      </c>
      <c r="E634" s="5" t="str">
        <f>"梧州学院视觉传达设计"</f>
        <v>梧州学院视觉传达设计</v>
      </c>
      <c r="F634" s="5" t="str">
        <f t="shared" si="112"/>
        <v>本科学士</v>
      </c>
      <c r="G634" s="6" t="str">
        <f t="shared" ref="G634:G639" si="113">"不是"</f>
        <v>不是</v>
      </c>
      <c r="H634" s="6" t="str">
        <f t="shared" si="105"/>
        <v>小学</v>
      </c>
      <c r="I634" s="6" t="str">
        <f t="shared" si="106"/>
        <v>108:美术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s="4" customFormat="1" ht="26.1" customHeight="1">
      <c r="A635" s="3">
        <v>633</v>
      </c>
      <c r="B635" s="4" t="str">
        <f>"许彬萍"</f>
        <v>许彬萍</v>
      </c>
      <c r="C635" s="4" t="str">
        <f t="shared" si="109"/>
        <v xml:space="preserve">女        </v>
      </c>
      <c r="D635" s="4" t="str">
        <f t="shared" si="103"/>
        <v>汉族</v>
      </c>
      <c r="E635" s="5" t="str">
        <f>"九江学院服装与服饰设计"</f>
        <v>九江学院服装与服饰设计</v>
      </c>
      <c r="F635" s="5" t="str">
        <f t="shared" si="112"/>
        <v>本科学士</v>
      </c>
      <c r="G635" s="6" t="str">
        <f t="shared" si="113"/>
        <v>不是</v>
      </c>
      <c r="H635" s="6" t="str">
        <f t="shared" si="105"/>
        <v>小学</v>
      </c>
      <c r="I635" s="6" t="str">
        <f t="shared" si="106"/>
        <v>108:美术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s="4" customFormat="1" ht="26.1" customHeight="1">
      <c r="A636" s="3">
        <v>634</v>
      </c>
      <c r="B636" s="4" t="str">
        <f>"潘健军"</f>
        <v>潘健军</v>
      </c>
      <c r="C636" s="4" t="str">
        <f>"男        "</f>
        <v xml:space="preserve">男        </v>
      </c>
      <c r="D636" s="4" t="str">
        <f t="shared" si="103"/>
        <v>汉族</v>
      </c>
      <c r="E636" s="5" t="str">
        <f>"广西师范大学环境设计"</f>
        <v>广西师范大学环境设计</v>
      </c>
      <c r="F636" s="5" t="str">
        <f t="shared" si="112"/>
        <v>本科学士</v>
      </c>
      <c r="G636" s="6" t="str">
        <f t="shared" si="113"/>
        <v>不是</v>
      </c>
      <c r="H636" s="6" t="str">
        <f t="shared" si="105"/>
        <v>小学</v>
      </c>
      <c r="I636" s="6" t="str">
        <f t="shared" si="106"/>
        <v>108:美术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s="4" customFormat="1" ht="26.1" customHeight="1">
      <c r="A637" s="3">
        <v>635</v>
      </c>
      <c r="B637" s="4" t="str">
        <f>"罗永丽"</f>
        <v>罗永丽</v>
      </c>
      <c r="C637" s="4" t="str">
        <f>"女        "</f>
        <v xml:space="preserve">女        </v>
      </c>
      <c r="D637" s="4" t="str">
        <f t="shared" si="103"/>
        <v>汉族</v>
      </c>
      <c r="E637" s="5" t="str">
        <f>"绍兴文理学院艺术设计"</f>
        <v>绍兴文理学院艺术设计</v>
      </c>
      <c r="F637" s="5" t="str">
        <f t="shared" si="112"/>
        <v>本科学士</v>
      </c>
      <c r="G637" s="6" t="str">
        <f t="shared" si="113"/>
        <v>不是</v>
      </c>
      <c r="H637" s="6" t="str">
        <f t="shared" si="105"/>
        <v>小学</v>
      </c>
      <c r="I637" s="6" t="str">
        <f t="shared" si="106"/>
        <v>108:美术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s="4" customFormat="1" ht="26.1" customHeight="1">
      <c r="A638" s="3">
        <v>636</v>
      </c>
      <c r="B638" s="4" t="str">
        <f>"苏锐燕"</f>
        <v>苏锐燕</v>
      </c>
      <c r="C638" s="4" t="str">
        <f>"女        "</f>
        <v xml:space="preserve">女        </v>
      </c>
      <c r="D638" s="4" t="str">
        <f t="shared" si="103"/>
        <v>汉族</v>
      </c>
      <c r="E638" s="5" t="str">
        <f>"浙江科技学院艺术设计"</f>
        <v>浙江科技学院艺术设计</v>
      </c>
      <c r="F638" s="5" t="str">
        <f t="shared" si="112"/>
        <v>本科学士</v>
      </c>
      <c r="G638" s="6" t="str">
        <f t="shared" si="113"/>
        <v>不是</v>
      </c>
      <c r="H638" s="6" t="str">
        <f t="shared" si="105"/>
        <v>小学</v>
      </c>
      <c r="I638" s="6" t="str">
        <f t="shared" si="106"/>
        <v>108:美术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s="4" customFormat="1" ht="26.1" customHeight="1">
      <c r="A639" s="3">
        <v>637</v>
      </c>
      <c r="B639" s="4" t="str">
        <f>"罗玉锦"</f>
        <v>罗玉锦</v>
      </c>
      <c r="C639" s="4" t="str">
        <f>"女        "</f>
        <v xml:space="preserve">女        </v>
      </c>
      <c r="D639" s="4" t="str">
        <f t="shared" si="103"/>
        <v>汉族</v>
      </c>
      <c r="E639" s="5" t="str">
        <f>"玉林师范学院艺术设计"</f>
        <v>玉林师范学院艺术设计</v>
      </c>
      <c r="F639" s="5" t="str">
        <f t="shared" si="112"/>
        <v>本科学士</v>
      </c>
      <c r="G639" s="6" t="str">
        <f t="shared" si="113"/>
        <v>不是</v>
      </c>
      <c r="H639" s="6" t="str">
        <f t="shared" si="105"/>
        <v>小学</v>
      </c>
      <c r="I639" s="6" t="str">
        <f t="shared" si="106"/>
        <v>108:美术</v>
      </c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s="4" customFormat="1" ht="26.1" customHeight="1">
      <c r="A640" s="3">
        <v>638</v>
      </c>
      <c r="B640" s="4" t="str">
        <f>"徐海"</f>
        <v>徐海</v>
      </c>
      <c r="C640" s="4" t="str">
        <f>"男        "</f>
        <v xml:space="preserve">男        </v>
      </c>
      <c r="D640" s="4" t="str">
        <f t="shared" si="103"/>
        <v>汉族</v>
      </c>
      <c r="E640" s="5" t="str">
        <f>"广西柳州师范高等专科学校美术教育"</f>
        <v>广西柳州师范高等专科学校美术教育</v>
      </c>
      <c r="F640" s="5" t="str">
        <f>"专科无学位"</f>
        <v>专科无学位</v>
      </c>
      <c r="G640" s="6" t="str">
        <f>"是"</f>
        <v>是</v>
      </c>
      <c r="H640" s="6" t="str">
        <f t="shared" si="105"/>
        <v>小学</v>
      </c>
      <c r="I640" s="6" t="str">
        <f t="shared" si="106"/>
        <v>108:美术</v>
      </c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s="4" customFormat="1" ht="26.1" customHeight="1">
      <c r="A641" s="3">
        <v>639</v>
      </c>
      <c r="B641" s="4" t="str">
        <f>"廖思萌"</f>
        <v>廖思萌</v>
      </c>
      <c r="C641" s="4" t="str">
        <f>"女        "</f>
        <v xml:space="preserve">女        </v>
      </c>
      <c r="D641" s="4" t="str">
        <f t="shared" si="103"/>
        <v>汉族</v>
      </c>
      <c r="E641" s="5" t="str">
        <f>"台州学院美术学"</f>
        <v>台州学院美术学</v>
      </c>
      <c r="F641" s="5" t="str">
        <f>"本科学士"</f>
        <v>本科学士</v>
      </c>
      <c r="G641" s="6" t="str">
        <f>"是"</f>
        <v>是</v>
      </c>
      <c r="H641" s="6" t="str">
        <f t="shared" si="105"/>
        <v>小学</v>
      </c>
      <c r="I641" s="6" t="str">
        <f t="shared" si="106"/>
        <v>108:美术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s="4" customFormat="1" ht="26.1" customHeight="1">
      <c r="A642" s="3">
        <v>640</v>
      </c>
      <c r="B642" s="4" t="str">
        <f>"涂舒婷"</f>
        <v>涂舒婷</v>
      </c>
      <c r="C642" s="4" t="str">
        <f>"女        "</f>
        <v xml:space="preserve">女        </v>
      </c>
      <c r="D642" s="4" t="str">
        <f t="shared" si="103"/>
        <v>汉族</v>
      </c>
      <c r="E642" s="5" t="str">
        <f>"广西民族师范学院美术教育"</f>
        <v>广西民族师范学院美术教育</v>
      </c>
      <c r="F642" s="5" t="str">
        <f>"本科学士"</f>
        <v>本科学士</v>
      </c>
      <c r="G642" s="6" t="str">
        <f>"是"</f>
        <v>是</v>
      </c>
      <c r="H642" s="6" t="str">
        <f t="shared" si="105"/>
        <v>小学</v>
      </c>
      <c r="I642" s="6" t="str">
        <f t="shared" si="106"/>
        <v>108:美术</v>
      </c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s="4" customFormat="1" ht="26.1" customHeight="1">
      <c r="A643" s="3">
        <v>641</v>
      </c>
      <c r="B643" s="4" t="str">
        <f>"张云婷"</f>
        <v>张云婷</v>
      </c>
      <c r="C643" s="4" t="str">
        <f>"女        "</f>
        <v xml:space="preserve">女        </v>
      </c>
      <c r="D643" s="4" t="str">
        <f t="shared" si="103"/>
        <v>汉族</v>
      </c>
      <c r="E643" s="5" t="str">
        <f>"湛江师范学院美术学书法"</f>
        <v>湛江师范学院美术学书法</v>
      </c>
      <c r="F643" s="5" t="str">
        <f>"本科学士"</f>
        <v>本科学士</v>
      </c>
      <c r="G643" s="6" t="str">
        <f>"是"</f>
        <v>是</v>
      </c>
      <c r="H643" s="6" t="str">
        <f t="shared" si="105"/>
        <v>小学</v>
      </c>
      <c r="I643" s="6" t="str">
        <f t="shared" si="106"/>
        <v>108:美术</v>
      </c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s="4" customFormat="1" ht="26.1" customHeight="1">
      <c r="A644" s="3">
        <v>642</v>
      </c>
      <c r="B644" s="4" t="str">
        <f>"梁思雯"</f>
        <v>梁思雯</v>
      </c>
      <c r="C644" s="4" t="str">
        <f t="shared" ref="C644" si="114">"女        "</f>
        <v xml:space="preserve">女        </v>
      </c>
      <c r="D644" s="4" t="str">
        <f t="shared" si="103"/>
        <v>汉族</v>
      </c>
      <c r="E644" s="5" t="str">
        <f>"梧州学院学前教育"</f>
        <v>梧州学院学前教育</v>
      </c>
      <c r="F644" s="5" t="str">
        <f>"专科无学位"</f>
        <v>专科无学位</v>
      </c>
      <c r="G644" s="6" t="str">
        <f t="shared" ref="G644" si="115">"是"</f>
        <v>是</v>
      </c>
      <c r="H644" s="6" t="str">
        <f t="shared" si="105"/>
        <v>小学</v>
      </c>
      <c r="I644" s="6" t="str">
        <f t="shared" si="106"/>
        <v>108:美术</v>
      </c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</sheetData>
  <mergeCells count="1">
    <mergeCell ref="A1:J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 </vt:lpstr>
      <vt:lpstr>'面试人员名单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2018-07-10T00:36:30Z</cp:lastPrinted>
  <dcterms:created xsi:type="dcterms:W3CDTF">2018-07-09T10:30:32Z</dcterms:created>
  <dcterms:modified xsi:type="dcterms:W3CDTF">2018-07-10T01:23:48Z</dcterms:modified>
</cp:coreProperties>
</file>